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3.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5.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6.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7.xml" ContentType="application/vnd.openxmlformats-officedocument.drawing+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8.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drawings/drawing9.xml" ContentType="application/vnd.openxmlformats-officedocument.drawing+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10.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11.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12.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13.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drawings/drawing14.xml" ContentType="application/vnd.openxmlformats-officedocument.drawing+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drawings/drawing15.xml" ContentType="application/vnd.openxmlformats-officedocument.drawing+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drawings/drawing16.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17.xml" ContentType="application/vnd.openxmlformats-officedocument.drawing+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drawings/drawing18.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drawings/drawing19.xml" ContentType="application/vnd.openxmlformats-officedocument.drawing+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20.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drawings/drawing21.xml" ContentType="application/vnd.openxmlformats-officedocument.drawing+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drawings/drawing22.xml" ContentType="application/vnd.openxmlformats-officedocument.drawing+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drawings/drawing23.xml" ContentType="application/vnd.openxmlformats-officedocument.drawing+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drawings/drawing24.xml" ContentType="application/vnd.openxmlformats-officedocument.drawing+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25.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drawings/drawing26.xml" ContentType="application/vnd.openxmlformats-officedocument.drawing+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drawings/drawing27.xml" ContentType="application/vnd.openxmlformats-officedocument.drawing+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28.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drawings/drawing29.xml" ContentType="application/vnd.openxmlformats-officedocument.drawing+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drawings/drawing30.xml" ContentType="application/vnd.openxmlformats-officedocument.drawing+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drawings/drawing31.xml" ContentType="application/vnd.openxmlformats-officedocument.drawing+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32.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33.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drawings/drawing34.xml" ContentType="application/vnd.openxmlformats-officedocument.drawing+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35.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drawings/drawing36.xml" ContentType="application/vnd.openxmlformats-officedocument.drawing+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drawings/drawing37.xml" ContentType="application/vnd.openxmlformats-officedocument.drawing+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drawings/drawing38.xml" ContentType="application/vnd.openxmlformats-officedocument.drawing+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drawings/drawing39.xml" ContentType="application/vnd.openxmlformats-officedocument.drawing+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40.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drawings/drawing41.xml" ContentType="application/vnd.openxmlformats-officedocument.drawing+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drawings/drawing42.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drawings/drawing43.xml" ContentType="application/vnd.openxmlformats-officedocument.drawing+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drawings/drawing44.xml" ContentType="application/vnd.openxmlformats-officedocument.drawing+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drawings/drawing45.xml" ContentType="application/vnd.openxmlformats-officedocument.drawing+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drawings/drawing46.xml" ContentType="application/vnd.openxmlformats-officedocument.drawing+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drawings/drawing47.xml" ContentType="application/vnd.openxmlformats-officedocument.drawing+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xr:revisionPtr revIDLastSave="0" documentId="13_ncr:1_{7FEA570A-1672-4C91-8B8D-E7402829038E}" xr6:coauthVersionLast="47" xr6:coauthVersionMax="47" xr10:uidLastSave="{00000000-0000-0000-0000-000000000000}"/>
  <bookViews>
    <workbookView xWindow="-120" yWindow="-120" windowWidth="29040" windowHeight="15720" tabRatio="845" xr2:uid="{00000000-000D-0000-FFFF-FFFF00000000}"/>
  </bookViews>
  <sheets>
    <sheet name="Հ1 Ձև1 " sheetId="9" r:id="rId1"/>
    <sheet name="1022-11001 խաղող " sheetId="11" r:id="rId2"/>
    <sheet name="1022-11002 ԳԾԿ Մելանի" sheetId="1" r:id="rId3"/>
    <sheet name="1022-11004 հող բարեփոխ" sheetId="50" r:id="rId4"/>
    <sheet name="1022-12005" sheetId="43" r:id="rId5"/>
    <sheet name="1022-12001" sheetId="42" r:id="rId6"/>
    <sheet name="1022-12004" sheetId="16" r:id="rId7"/>
    <sheet name="1022-12010" sheetId="36" r:id="rId8"/>
    <sheet name="1022-12011 հող կոնսոլ" sheetId="30" r:id="rId9"/>
    <sheet name="1022-12012" sheetId="15" r:id="rId10"/>
    <sheet name="1022-32001հող բարեփո" sheetId="49" r:id="rId11"/>
    <sheet name="1058-11001" sheetId="55" r:id="rId12"/>
    <sheet name="1058-11002" sheetId="54" r:id="rId13"/>
    <sheet name="1058-11003" sheetId="52" r:id="rId14"/>
    <sheet name="1058-11007" sheetId="14" r:id="rId15"/>
    <sheet name="1058-31001" sheetId="56" r:id="rId16"/>
    <sheet name="1058-31002" sheetId="57" r:id="rId17"/>
    <sheet name="1059-11001" sheetId="20" r:id="rId18"/>
    <sheet name="1059-11002" sheetId="21" r:id="rId19"/>
    <sheet name="1059-11003" sheetId="22" r:id="rId20"/>
    <sheet name="1067-11001" sheetId="40" r:id="rId21"/>
    <sheet name="1067-11002" sheetId="53" r:id="rId22"/>
    <sheet name="1086-11004" sheetId="63" r:id="rId23"/>
    <sheet name="1086-12003" sheetId="64" r:id="rId24"/>
    <sheet name="1086-31001" sheetId="65" r:id="rId25"/>
    <sheet name="1104-11001" sheetId="23" r:id="rId26"/>
    <sheet name="1104-11002" sheetId="24" r:id="rId27"/>
    <sheet name="1104-12001" sheetId="25" r:id="rId28"/>
    <sheet name="1116-11001" sheetId="12" r:id="rId29"/>
    <sheet name="1165-11002" sheetId="46" r:id="rId30"/>
    <sheet name="1165-11004 ՆԱԿ" sheetId="66" r:id="rId31"/>
    <sheet name="1116-11005" sheetId="13" r:id="rId32"/>
    <sheet name="1165-11007" sheetId="47" r:id="rId33"/>
    <sheet name="1165-31003" sheetId="48" r:id="rId34"/>
    <sheet name="1187-12002" sheetId="28" r:id="rId35"/>
    <sheet name="1187-12003" sheetId="41" r:id="rId36"/>
    <sheet name="1187-12004" sheetId="17" r:id="rId37"/>
    <sheet name="1187-12005" sheetId="39" r:id="rId38"/>
    <sheet name="1187-12006" sheetId="27" r:id="rId39"/>
    <sheet name="1187-12007" sheetId="35" r:id="rId40"/>
    <sheet name="1187-12008" sheetId="44" r:id="rId41"/>
    <sheet name="1187-12009" sheetId="34" r:id="rId42"/>
    <sheet name="1187-12011" sheetId="38" r:id="rId43"/>
    <sheet name="1187-12012" sheetId="45" r:id="rId44"/>
    <sheet name="1187-12013" sheetId="37" r:id="rId45"/>
    <sheet name="1187-12014" sheetId="29" r:id="rId46"/>
    <sheet name="1187-12015" sheetId="31" r:id="rId47"/>
    <sheet name="1190-11001" sheetId="58" r:id="rId48"/>
    <sheet name="1190-11002" sheetId="26" r:id="rId49"/>
    <sheet name="1190-11004 LED" sheetId="61" r:id="rId50"/>
    <sheet name="1190-12001LED" sheetId="62" r:id="rId51"/>
    <sheet name="Լրացման պահանջներ" sheetId="7" r:id="rId52"/>
  </sheets>
  <externalReferences>
    <externalReference r:id="rId53"/>
    <externalReference r:id="rId54"/>
    <externalReference r:id="rId55"/>
    <externalReference r:id="rId56"/>
    <externalReference r:id="rId57"/>
    <externalReference r:id="rId58"/>
  </externalReferences>
  <definedNames>
    <definedName name="_xlnm._FilterDatabase" localSheetId="0" hidden="1">'Հ1 Ձև1 '!$A$7:$X$59</definedName>
    <definedName name="_ftn1" localSheetId="0">'Հ1 Ձև1 '!#REF!</definedName>
    <definedName name="_ftn2" localSheetId="0">'Հ1 Ձև1 '!#REF!</definedName>
    <definedName name="_ftnref1" localSheetId="0">'Հ1 Ձև1 '!$V$6</definedName>
    <definedName name="_ftnref2" localSheetId="0">'Հ1 Ձև1 '!$W$6</definedName>
    <definedName name="_Toc501014752" localSheetId="1">'1022-11001 խաղող '!#REF!</definedName>
    <definedName name="_Toc501014752" localSheetId="2">'1022-11002 ԳԾԿ Մելանի'!#REF!</definedName>
    <definedName name="_Toc501014753" localSheetId="1">'1022-11001 խաղող '!#REF!</definedName>
    <definedName name="_Toc501014753" localSheetId="2">'1022-11002 ԳԾԿ Մելանի'!#REF!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54" i="9" l="1"/>
  <c r="Q54" i="9"/>
  <c r="R54" i="9"/>
  <c r="S54" i="9"/>
  <c r="T54" i="9"/>
  <c r="U54" i="9"/>
  <c r="F54" i="9"/>
  <c r="G54" i="9"/>
  <c r="H54" i="9"/>
  <c r="I54" i="9"/>
  <c r="J54" i="9"/>
  <c r="K54" i="9"/>
  <c r="L54" i="9"/>
  <c r="M54" i="9"/>
  <c r="N54" i="9"/>
  <c r="O54" i="9"/>
  <c r="E54" i="9"/>
  <c r="F42" i="29"/>
  <c r="G42" i="29"/>
  <c r="E42" i="29"/>
  <c r="L38" i="29"/>
  <c r="M38" i="29"/>
  <c r="K38" i="29"/>
  <c r="P48" i="13"/>
  <c r="O48" i="13"/>
  <c r="N48" i="13"/>
  <c r="J48" i="13"/>
  <c r="I48" i="13"/>
  <c r="H48" i="13"/>
  <c r="D48" i="13"/>
  <c r="J46" i="13"/>
  <c r="I46" i="13"/>
  <c r="H46" i="13"/>
  <c r="G46" i="13"/>
  <c r="G48" i="13" s="1"/>
  <c r="F46" i="13"/>
  <c r="F48" i="13" s="1"/>
  <c r="E46" i="13"/>
  <c r="E48" i="13" s="1"/>
  <c r="D46" i="13"/>
  <c r="C45" i="13"/>
  <c r="K45" i="13" s="1"/>
  <c r="Q45" i="13" s="1"/>
  <c r="C44" i="13"/>
  <c r="C46" i="13" s="1"/>
  <c r="C48" i="13" s="1"/>
  <c r="M43" i="13"/>
  <c r="S43" i="13" s="1"/>
  <c r="L43" i="13"/>
  <c r="R43" i="13" s="1"/>
  <c r="K43" i="13"/>
  <c r="K42" i="13"/>
  <c r="Q42" i="13" s="1"/>
  <c r="P73" i="12"/>
  <c r="O73" i="12"/>
  <c r="N73" i="12"/>
  <c r="C72" i="12"/>
  <c r="D71" i="12"/>
  <c r="D73" i="12" s="1"/>
  <c r="C71" i="12"/>
  <c r="C73" i="12" s="1"/>
  <c r="S70" i="12"/>
  <c r="L70" i="12"/>
  <c r="R70" i="12" s="1"/>
  <c r="E70" i="12"/>
  <c r="K70" i="12" s="1"/>
  <c r="Q70" i="12" s="1"/>
  <c r="S69" i="12"/>
  <c r="R69" i="12"/>
  <c r="E69" i="12"/>
  <c r="F69" i="12" s="1"/>
  <c r="R68" i="12"/>
  <c r="Q68" i="12"/>
  <c r="L68" i="12"/>
  <c r="M68" i="12" s="1"/>
  <c r="S68" i="12" s="1"/>
  <c r="K68" i="12"/>
  <c r="J67" i="12"/>
  <c r="I67" i="12"/>
  <c r="L67" i="12" s="1"/>
  <c r="R67" i="12" s="1"/>
  <c r="H67" i="12"/>
  <c r="K67" i="12" s="1"/>
  <c r="L66" i="12"/>
  <c r="R66" i="12" s="1"/>
  <c r="H66" i="12"/>
  <c r="K66" i="12" s="1"/>
  <c r="J65" i="12"/>
  <c r="I65" i="12"/>
  <c r="H65" i="12"/>
  <c r="K65" i="12" s="1"/>
  <c r="K64" i="12"/>
  <c r="M64" i="12" s="1"/>
  <c r="S64" i="12" s="1"/>
  <c r="J64" i="12"/>
  <c r="I64" i="12"/>
  <c r="H64" i="12"/>
  <c r="G63" i="12"/>
  <c r="F63" i="12"/>
  <c r="E63" i="12"/>
  <c r="K63" i="12" s="1"/>
  <c r="G62" i="12"/>
  <c r="F62" i="12"/>
  <c r="E62" i="12"/>
  <c r="K62" i="12" s="1"/>
  <c r="Q61" i="12"/>
  <c r="M61" i="12"/>
  <c r="S61" i="12" s="1"/>
  <c r="L61" i="12"/>
  <c r="R61" i="12" s="1"/>
  <c r="K61" i="12"/>
  <c r="G60" i="12"/>
  <c r="G71" i="12" s="1"/>
  <c r="G73" i="12" s="1"/>
  <c r="F60" i="12"/>
  <c r="F71" i="12" s="1"/>
  <c r="F73" i="12" s="1"/>
  <c r="E60" i="12"/>
  <c r="E71" i="12" s="1"/>
  <c r="E73" i="12" s="1"/>
  <c r="K58" i="12"/>
  <c r="K59" i="12" s="1"/>
  <c r="J58" i="12"/>
  <c r="J71" i="12" s="1"/>
  <c r="J73" i="12" s="1"/>
  <c r="I58" i="12"/>
  <c r="L58" i="12" s="1"/>
  <c r="H58" i="12"/>
  <c r="G58" i="12"/>
  <c r="F58" i="12"/>
  <c r="E58" i="12"/>
  <c r="P44" i="53"/>
  <c r="O44" i="53"/>
  <c r="N44" i="53"/>
  <c r="J44" i="53"/>
  <c r="G44" i="53"/>
  <c r="F44" i="53"/>
  <c r="E44" i="53"/>
  <c r="D44" i="53"/>
  <c r="C44" i="53"/>
  <c r="M43" i="53"/>
  <c r="L43" i="53"/>
  <c r="K43" i="53"/>
  <c r="J42" i="53"/>
  <c r="I42" i="53"/>
  <c r="I44" i="53" s="1"/>
  <c r="H42" i="53"/>
  <c r="H44" i="53" s="1"/>
  <c r="D42" i="53"/>
  <c r="C42" i="53"/>
  <c r="M41" i="53"/>
  <c r="S41" i="53" s="1"/>
  <c r="L41" i="53"/>
  <c r="R41" i="53" s="1"/>
  <c r="K41" i="53"/>
  <c r="Q41" i="53" s="1"/>
  <c r="M40" i="53"/>
  <c r="S40" i="53" s="1"/>
  <c r="L40" i="53"/>
  <c r="R40" i="53" s="1"/>
  <c r="K40" i="53"/>
  <c r="Q40" i="53" s="1"/>
  <c r="M39" i="53"/>
  <c r="S39" i="53" s="1"/>
  <c r="L39" i="53"/>
  <c r="R39" i="53" s="1"/>
  <c r="K39" i="53"/>
  <c r="Q39" i="53" s="1"/>
  <c r="M38" i="53"/>
  <c r="S38" i="53" s="1"/>
  <c r="L38" i="53"/>
  <c r="R38" i="53" s="1"/>
  <c r="K38" i="53"/>
  <c r="Q38" i="53" s="1"/>
  <c r="M37" i="53"/>
  <c r="S37" i="53" s="1"/>
  <c r="L37" i="53"/>
  <c r="R37" i="53" s="1"/>
  <c r="K37" i="53"/>
  <c r="K42" i="53" s="1"/>
  <c r="P42" i="66"/>
  <c r="O42" i="66"/>
  <c r="N42" i="66"/>
  <c r="D42" i="66"/>
  <c r="C42" i="66"/>
  <c r="D41" i="66"/>
  <c r="C41" i="66"/>
  <c r="L41" i="66" s="1"/>
  <c r="D40" i="66"/>
  <c r="C40" i="66"/>
  <c r="S39" i="66"/>
  <c r="R39" i="66"/>
  <c r="Q39" i="66"/>
  <c r="M39" i="66"/>
  <c r="L39" i="66"/>
  <c r="K39" i="66"/>
  <c r="G38" i="66"/>
  <c r="G40" i="66" s="1"/>
  <c r="F38" i="66"/>
  <c r="F40" i="66" s="1"/>
  <c r="E38" i="66"/>
  <c r="K38" i="66" s="1"/>
  <c r="Q38" i="66" s="1"/>
  <c r="J37" i="66"/>
  <c r="M37" i="66" s="1"/>
  <c r="S37" i="66" s="1"/>
  <c r="I37" i="66"/>
  <c r="I40" i="66" s="1"/>
  <c r="I42" i="66" s="1"/>
  <c r="H37" i="66"/>
  <c r="K37" i="66" s="1"/>
  <c r="Q37" i="66" s="1"/>
  <c r="L43" i="40"/>
  <c r="M43" i="40"/>
  <c r="K43" i="40"/>
  <c r="K41" i="40"/>
  <c r="L41" i="40"/>
  <c r="M41" i="40"/>
  <c r="L45" i="13" l="1"/>
  <c r="R45" i="13" s="1"/>
  <c r="L42" i="13"/>
  <c r="K44" i="13"/>
  <c r="Q44" i="13" s="1"/>
  <c r="M42" i="13"/>
  <c r="L44" i="13"/>
  <c r="R44" i="13" s="1"/>
  <c r="M44" i="13"/>
  <c r="S44" i="13" s="1"/>
  <c r="M45" i="13"/>
  <c r="S45" i="13" s="1"/>
  <c r="Q43" i="13"/>
  <c r="Q62" i="12"/>
  <c r="M62" i="12"/>
  <c r="S62" i="12" s="1"/>
  <c r="L62" i="12"/>
  <c r="R62" i="12" s="1"/>
  <c r="R58" i="12"/>
  <c r="L71" i="12"/>
  <c r="L59" i="12"/>
  <c r="Q59" i="12"/>
  <c r="K72" i="12"/>
  <c r="Q63" i="12"/>
  <c r="M63" i="12"/>
  <c r="S63" i="12" s="1"/>
  <c r="L63" i="12"/>
  <c r="R63" i="12" s="1"/>
  <c r="M65" i="12"/>
  <c r="S65" i="12" s="1"/>
  <c r="L65" i="12"/>
  <c r="R65" i="12" s="1"/>
  <c r="Q65" i="12"/>
  <c r="K71" i="12"/>
  <c r="M66" i="12"/>
  <c r="S66" i="12" s="1"/>
  <c r="Q66" i="12"/>
  <c r="Q67" i="12"/>
  <c r="M67" i="12"/>
  <c r="S67" i="12" s="1"/>
  <c r="M58" i="12"/>
  <c r="Q58" i="12"/>
  <c r="K60" i="12"/>
  <c r="Q64" i="12"/>
  <c r="G69" i="12"/>
  <c r="K69" i="12"/>
  <c r="Q69" i="12" s="1"/>
  <c r="H71" i="12"/>
  <c r="H73" i="12" s="1"/>
  <c r="I71" i="12"/>
  <c r="I73" i="12" s="1"/>
  <c r="L64" i="12"/>
  <c r="R64" i="12" s="1"/>
  <c r="L42" i="53"/>
  <c r="L44" i="53" s="1"/>
  <c r="R44" i="53" s="1"/>
  <c r="K44" i="53"/>
  <c r="Q44" i="53" s="1"/>
  <c r="M42" i="53"/>
  <c r="M44" i="53" s="1"/>
  <c r="S44" i="53" s="1"/>
  <c r="Q37" i="53"/>
  <c r="L40" i="66"/>
  <c r="L42" i="66" s="1"/>
  <c r="R42" i="66" s="1"/>
  <c r="F42" i="66"/>
  <c r="G42" i="66"/>
  <c r="L38" i="66"/>
  <c r="R38" i="66" s="1"/>
  <c r="K41" i="66"/>
  <c r="E40" i="66"/>
  <c r="E42" i="66" s="1"/>
  <c r="M41" i="66"/>
  <c r="L37" i="66"/>
  <c r="R37" i="66" s="1"/>
  <c r="H40" i="66"/>
  <c r="H42" i="66" s="1"/>
  <c r="J40" i="66"/>
  <c r="J42" i="66" s="1"/>
  <c r="M38" i="66"/>
  <c r="S38" i="66" s="1"/>
  <c r="S42" i="13" l="1"/>
  <c r="M46" i="13"/>
  <c r="M48" i="13" s="1"/>
  <c r="S48" i="13" s="1"/>
  <c r="R42" i="13"/>
  <c r="L46" i="13"/>
  <c r="L48" i="13" s="1"/>
  <c r="R48" i="13" s="1"/>
  <c r="K46" i="13"/>
  <c r="K48" i="13" s="1"/>
  <c r="Q48" i="13" s="1"/>
  <c r="R59" i="12"/>
  <c r="L72" i="12"/>
  <c r="S58" i="12"/>
  <c r="M59" i="12"/>
  <c r="M71" i="12"/>
  <c r="K73" i="12"/>
  <c r="Q73" i="12" s="1"/>
  <c r="L60" i="12"/>
  <c r="Q60" i="12"/>
  <c r="L73" i="12"/>
  <c r="R73" i="12" s="1"/>
  <c r="M40" i="66"/>
  <c r="M42" i="66" s="1"/>
  <c r="S42" i="66" s="1"/>
  <c r="K40" i="66"/>
  <c r="K42" i="66" s="1"/>
  <c r="Q42" i="66" s="1"/>
  <c r="P38" i="15"/>
  <c r="O38" i="15"/>
  <c r="N38" i="15"/>
  <c r="M38" i="15"/>
  <c r="S38" i="15" s="1"/>
  <c r="I38" i="15"/>
  <c r="H38" i="15"/>
  <c r="E38" i="15"/>
  <c r="D38" i="15"/>
  <c r="C38" i="15"/>
  <c r="M37" i="15"/>
  <c r="L37" i="15"/>
  <c r="K37" i="15"/>
  <c r="L36" i="15"/>
  <c r="K36" i="15"/>
  <c r="J36" i="15"/>
  <c r="M36" i="15" s="1"/>
  <c r="I36" i="15"/>
  <c r="H36" i="15"/>
  <c r="G36" i="15"/>
  <c r="G38" i="15" s="1"/>
  <c r="F36" i="15"/>
  <c r="F38" i="15" s="1"/>
  <c r="S35" i="15"/>
  <c r="L35" i="15"/>
  <c r="R35" i="15" s="1"/>
  <c r="K35" i="15"/>
  <c r="Q35" i="15" s="1"/>
  <c r="R60" i="12" l="1"/>
  <c r="M60" i="12"/>
  <c r="S60" i="12" s="1"/>
  <c r="S59" i="12"/>
  <c r="M72" i="12"/>
  <c r="M73" i="12" s="1"/>
  <c r="S73" i="12" s="1"/>
  <c r="J38" i="15"/>
  <c r="K38" i="15"/>
  <c r="Q38" i="15" s="1"/>
  <c r="L38" i="15"/>
  <c r="R38" i="15" s="1"/>
  <c r="P87" i="11" l="1"/>
  <c r="O87" i="11"/>
  <c r="N87" i="11"/>
  <c r="H87" i="11"/>
  <c r="F87" i="11"/>
  <c r="E87" i="11"/>
  <c r="D87" i="11"/>
  <c r="C86" i="11"/>
  <c r="M86" i="11" s="1"/>
  <c r="H85" i="11"/>
  <c r="G85" i="11"/>
  <c r="G87" i="11" s="1"/>
  <c r="F85" i="11"/>
  <c r="E85" i="11"/>
  <c r="C85" i="11"/>
  <c r="C87" i="11" s="1"/>
  <c r="L84" i="11"/>
  <c r="R84" i="11" s="1"/>
  <c r="I84" i="11"/>
  <c r="J84" i="11" s="1"/>
  <c r="M84" i="11" s="1"/>
  <c r="S84" i="11" s="1"/>
  <c r="H84" i="11"/>
  <c r="K84" i="11" s="1"/>
  <c r="Q84" i="11" s="1"/>
  <c r="C84" i="11"/>
  <c r="L83" i="11"/>
  <c r="R83" i="11" s="1"/>
  <c r="K83" i="11"/>
  <c r="Q83" i="11" s="1"/>
  <c r="J83" i="11"/>
  <c r="M83" i="11" s="1"/>
  <c r="S83" i="11" s="1"/>
  <c r="R82" i="11"/>
  <c r="Q82" i="11"/>
  <c r="M82" i="11"/>
  <c r="S82" i="11" s="1"/>
  <c r="L82" i="11"/>
  <c r="K82" i="11"/>
  <c r="J82" i="11"/>
  <c r="Q81" i="11"/>
  <c r="M81" i="11"/>
  <c r="S81" i="11" s="1"/>
  <c r="L81" i="11"/>
  <c r="R81" i="11" s="1"/>
  <c r="K81" i="11"/>
  <c r="J81" i="11"/>
  <c r="R80" i="11"/>
  <c r="L80" i="11"/>
  <c r="K80" i="11"/>
  <c r="Q80" i="11" s="1"/>
  <c r="J80" i="11"/>
  <c r="M80" i="11" s="1"/>
  <c r="S80" i="11" s="1"/>
  <c r="R79" i="11"/>
  <c r="Q79" i="11"/>
  <c r="L79" i="11"/>
  <c r="K79" i="11"/>
  <c r="J79" i="11"/>
  <c r="M79" i="11" s="1"/>
  <c r="S79" i="11" s="1"/>
  <c r="L78" i="11"/>
  <c r="R78" i="11" s="1"/>
  <c r="K78" i="11"/>
  <c r="Q78" i="11" s="1"/>
  <c r="J78" i="11"/>
  <c r="M78" i="11" s="1"/>
  <c r="S78" i="11" s="1"/>
  <c r="S77" i="11"/>
  <c r="Q77" i="11"/>
  <c r="M77" i="11"/>
  <c r="L77" i="11"/>
  <c r="R77" i="11" s="1"/>
  <c r="K77" i="11"/>
  <c r="J77" i="11"/>
  <c r="M76" i="11"/>
  <c r="S76" i="11" s="1"/>
  <c r="L76" i="11"/>
  <c r="R76" i="11" s="1"/>
  <c r="K76" i="11"/>
  <c r="K85" i="11" s="1"/>
  <c r="J76" i="11"/>
  <c r="R75" i="11"/>
  <c r="Q75" i="11"/>
  <c r="L75" i="11"/>
  <c r="K75" i="11"/>
  <c r="J75" i="11"/>
  <c r="M75" i="11" s="1"/>
  <c r="S75" i="11" s="1"/>
  <c r="R74" i="11"/>
  <c r="Q74" i="11"/>
  <c r="M74" i="11"/>
  <c r="S74" i="11" s="1"/>
  <c r="L74" i="11"/>
  <c r="K74" i="11"/>
  <c r="J74" i="11"/>
  <c r="L73" i="11"/>
  <c r="R73" i="11" s="1"/>
  <c r="K73" i="11"/>
  <c r="Q73" i="11" s="1"/>
  <c r="J73" i="11"/>
  <c r="M73" i="11" s="1"/>
  <c r="S73" i="11" s="1"/>
  <c r="S72" i="11"/>
  <c r="R72" i="11"/>
  <c r="M72" i="11"/>
  <c r="L72" i="11"/>
  <c r="K72" i="11"/>
  <c r="Q72" i="11" s="1"/>
  <c r="J72" i="11"/>
  <c r="L71" i="11"/>
  <c r="R71" i="11" s="1"/>
  <c r="K71" i="11"/>
  <c r="Q71" i="11" s="1"/>
  <c r="J71" i="11"/>
  <c r="M71" i="11" s="1"/>
  <c r="S71" i="11" s="1"/>
  <c r="R70" i="11"/>
  <c r="Q70" i="11"/>
  <c r="M70" i="11"/>
  <c r="S70" i="11" s="1"/>
  <c r="L70" i="11"/>
  <c r="K70" i="11"/>
  <c r="J70" i="11"/>
  <c r="Q69" i="11"/>
  <c r="M69" i="11"/>
  <c r="S69" i="11" s="1"/>
  <c r="L69" i="11"/>
  <c r="R69" i="11" s="1"/>
  <c r="K69" i="11"/>
  <c r="J69" i="11"/>
  <c r="R68" i="11"/>
  <c r="L68" i="11"/>
  <c r="K68" i="11"/>
  <c r="Q68" i="11" s="1"/>
  <c r="J68" i="11"/>
  <c r="M68" i="11" s="1"/>
  <c r="S68" i="11" s="1"/>
  <c r="R67" i="11"/>
  <c r="Q67" i="11"/>
  <c r="L67" i="11"/>
  <c r="K67" i="11"/>
  <c r="J67" i="11"/>
  <c r="M67" i="11" s="1"/>
  <c r="S67" i="11" s="1"/>
  <c r="L66" i="11"/>
  <c r="R66" i="11" s="1"/>
  <c r="K66" i="11"/>
  <c r="Q66" i="11" s="1"/>
  <c r="J66" i="11"/>
  <c r="M66" i="11" s="1"/>
  <c r="S66" i="11" s="1"/>
  <c r="S65" i="11"/>
  <c r="Q65" i="11"/>
  <c r="M65" i="11"/>
  <c r="L65" i="11"/>
  <c r="R65" i="11" s="1"/>
  <c r="K65" i="11"/>
  <c r="J65" i="11"/>
  <c r="M64" i="11"/>
  <c r="S64" i="11" s="1"/>
  <c r="L64" i="11"/>
  <c r="R64" i="11" s="1"/>
  <c r="K64" i="11"/>
  <c r="Q64" i="11" s="1"/>
  <c r="J64" i="11"/>
  <c r="Q63" i="11"/>
  <c r="K63" i="11"/>
  <c r="I63" i="11"/>
  <c r="L63" i="11" s="1"/>
  <c r="R63" i="11" s="1"/>
  <c r="R62" i="11"/>
  <c r="Q62" i="11"/>
  <c r="L62" i="11"/>
  <c r="K62" i="11"/>
  <c r="J62" i="11"/>
  <c r="M62" i="11" s="1"/>
  <c r="S62" i="11" s="1"/>
  <c r="I62" i="11"/>
  <c r="L61" i="11"/>
  <c r="R61" i="11" s="1"/>
  <c r="K61" i="11"/>
  <c r="Q61" i="11" s="1"/>
  <c r="J61" i="11"/>
  <c r="M61" i="11" s="1"/>
  <c r="S61" i="11" s="1"/>
  <c r="I61" i="11"/>
  <c r="Q60" i="11"/>
  <c r="K60" i="11"/>
  <c r="I60" i="11"/>
  <c r="L60" i="11" s="1"/>
  <c r="R60" i="11" s="1"/>
  <c r="R59" i="11"/>
  <c r="Q59" i="11"/>
  <c r="L59" i="11"/>
  <c r="K59" i="11"/>
  <c r="J59" i="11"/>
  <c r="M59" i="11" s="1"/>
  <c r="S59" i="11" s="1"/>
  <c r="I59" i="11"/>
  <c r="L58" i="11"/>
  <c r="R58" i="11" s="1"/>
  <c r="K58" i="11"/>
  <c r="Q58" i="11" s="1"/>
  <c r="J58" i="11"/>
  <c r="M58" i="11" s="1"/>
  <c r="S58" i="11" s="1"/>
  <c r="I58" i="11"/>
  <c r="Q57" i="11"/>
  <c r="K57" i="11"/>
  <c r="I57" i="11"/>
  <c r="I85" i="11" s="1"/>
  <c r="R56" i="11"/>
  <c r="Q56" i="11"/>
  <c r="L56" i="11"/>
  <c r="K56" i="11"/>
  <c r="J56" i="11"/>
  <c r="M56" i="11" s="1"/>
  <c r="S56" i="11" s="1"/>
  <c r="I56" i="11"/>
  <c r="L55" i="11"/>
  <c r="R55" i="11" s="1"/>
  <c r="K55" i="11"/>
  <c r="Q55" i="11" s="1"/>
  <c r="J55" i="11"/>
  <c r="M55" i="11" s="1"/>
  <c r="S55" i="11" s="1"/>
  <c r="I55" i="11"/>
  <c r="R54" i="11"/>
  <c r="Q54" i="11"/>
  <c r="L54" i="11"/>
  <c r="K54" i="11"/>
  <c r="J54" i="11"/>
  <c r="I37" i="11"/>
  <c r="J37" i="11" s="1"/>
  <c r="I36" i="11"/>
  <c r="J36" i="11" s="1"/>
  <c r="I35" i="11"/>
  <c r="J35" i="11" s="1"/>
  <c r="I34" i="11"/>
  <c r="J34" i="11" s="1"/>
  <c r="I33" i="11"/>
  <c r="J33" i="11" s="1"/>
  <c r="I32" i="11"/>
  <c r="J32" i="11" s="1"/>
  <c r="I31" i="11"/>
  <c r="J31" i="11" s="1"/>
  <c r="I30" i="11"/>
  <c r="J30" i="11" s="1"/>
  <c r="I29" i="11"/>
  <c r="J29" i="11" s="1"/>
  <c r="I28" i="11"/>
  <c r="J28" i="11" s="1"/>
  <c r="I27" i="11"/>
  <c r="J27" i="11" s="1"/>
  <c r="I26" i="11"/>
  <c r="J26" i="11" s="1"/>
  <c r="I25" i="11"/>
  <c r="J25" i="11" s="1"/>
  <c r="I24" i="11"/>
  <c r="J24" i="11" s="1"/>
  <c r="I23" i="11"/>
  <c r="J23" i="11" s="1"/>
  <c r="I22" i="11"/>
  <c r="J22" i="11" s="1"/>
  <c r="I21" i="11"/>
  <c r="J21" i="11" s="1"/>
  <c r="I20" i="11"/>
  <c r="J20" i="11" s="1"/>
  <c r="J19" i="11"/>
  <c r="I87" i="11" l="1"/>
  <c r="L85" i="11"/>
  <c r="Q76" i="11"/>
  <c r="J57" i="11"/>
  <c r="M57" i="11" s="1"/>
  <c r="S57" i="11" s="1"/>
  <c r="J60" i="11"/>
  <c r="M60" i="11" s="1"/>
  <c r="S60" i="11" s="1"/>
  <c r="J63" i="11"/>
  <c r="M63" i="11" s="1"/>
  <c r="S63" i="11" s="1"/>
  <c r="K86" i="11"/>
  <c r="K87" i="11" s="1"/>
  <c r="Q87" i="11" s="1"/>
  <c r="L86" i="11"/>
  <c r="L57" i="11"/>
  <c r="R57" i="11" s="1"/>
  <c r="M54" i="11"/>
  <c r="S54" i="11" s="1"/>
  <c r="L87" i="11" l="1"/>
  <c r="R87" i="11" s="1"/>
  <c r="J91" i="11" s="1"/>
  <c r="J85" i="11"/>
  <c r="M85" i="11" l="1"/>
  <c r="M87" i="11" s="1"/>
  <c r="S87" i="11" s="1"/>
  <c r="J87" i="11"/>
  <c r="P39" i="43" l="1"/>
  <c r="O39" i="43"/>
  <c r="N39" i="43"/>
  <c r="I39" i="43"/>
  <c r="D39" i="43"/>
  <c r="C39" i="43"/>
  <c r="M38" i="43"/>
  <c r="L38" i="43"/>
  <c r="K38" i="43"/>
  <c r="L37" i="43"/>
  <c r="L39" i="43" s="1"/>
  <c r="R39" i="43" s="1"/>
  <c r="J37" i="43"/>
  <c r="M37" i="43" s="1"/>
  <c r="M39" i="43" s="1"/>
  <c r="S39" i="43" s="1"/>
  <c r="I37" i="43"/>
  <c r="G37" i="43"/>
  <c r="G39" i="43" s="1"/>
  <c r="F37" i="43"/>
  <c r="F39" i="43" s="1"/>
  <c r="E37" i="43"/>
  <c r="E39" i="43" s="1"/>
  <c r="D37" i="43"/>
  <c r="C37" i="43"/>
  <c r="Q36" i="43"/>
  <c r="M36" i="43"/>
  <c r="S36" i="43" s="1"/>
  <c r="L36" i="43"/>
  <c r="R36" i="43" s="1"/>
  <c r="K36" i="43"/>
  <c r="H36" i="43"/>
  <c r="H37" i="43" s="1"/>
  <c r="K37" i="43" l="1"/>
  <c r="K39" i="43" s="1"/>
  <c r="Q39" i="43" s="1"/>
  <c r="H39" i="43"/>
  <c r="J39" i="43"/>
  <c r="D42" i="29" l="1"/>
  <c r="D53" i="31"/>
  <c r="H29" i="9" l="1"/>
  <c r="I29" i="9"/>
  <c r="G29" i="9"/>
  <c r="P81" i="26" l="1"/>
  <c r="O81" i="26"/>
  <c r="N81" i="26"/>
  <c r="I81" i="26"/>
  <c r="H81" i="26"/>
  <c r="D81" i="26"/>
  <c r="C81" i="26"/>
  <c r="M80" i="26"/>
  <c r="L80" i="26"/>
  <c r="K80" i="26"/>
  <c r="L79" i="26"/>
  <c r="L81" i="26" s="1"/>
  <c r="R81" i="26" s="1"/>
  <c r="K79" i="26"/>
  <c r="K81" i="26" s="1"/>
  <c r="Q81" i="26" s="1"/>
  <c r="J79" i="26"/>
  <c r="M79" i="26" s="1"/>
  <c r="M81" i="26" s="1"/>
  <c r="S81" i="26" s="1"/>
  <c r="I79" i="26"/>
  <c r="H79" i="26"/>
  <c r="G79" i="26"/>
  <c r="G81" i="26" s="1"/>
  <c r="F79" i="26"/>
  <c r="F81" i="26" s="1"/>
  <c r="E79" i="26"/>
  <c r="E81" i="26" s="1"/>
  <c r="D79" i="26"/>
  <c r="S78" i="26"/>
  <c r="R78" i="26"/>
  <c r="Q78" i="26"/>
  <c r="S77" i="26"/>
  <c r="R77" i="26"/>
  <c r="Q77" i="26"/>
  <c r="M77" i="26"/>
  <c r="L77" i="26"/>
  <c r="K77" i="26"/>
  <c r="M76" i="26"/>
  <c r="S76" i="26" s="1"/>
  <c r="L76" i="26"/>
  <c r="R76" i="26" s="1"/>
  <c r="K76" i="26"/>
  <c r="Q76" i="26" s="1"/>
  <c r="S75" i="26"/>
  <c r="R75" i="26"/>
  <c r="Q75" i="26"/>
  <c r="M75" i="26"/>
  <c r="L75" i="26"/>
  <c r="K75" i="26"/>
  <c r="M74" i="26"/>
  <c r="S74" i="26" s="1"/>
  <c r="L74" i="26"/>
  <c r="R74" i="26" s="1"/>
  <c r="K74" i="26"/>
  <c r="Q74" i="26" s="1"/>
  <c r="S73" i="26"/>
  <c r="R73" i="26"/>
  <c r="Q73" i="26"/>
  <c r="M73" i="26"/>
  <c r="L73" i="26"/>
  <c r="K73" i="26"/>
  <c r="M72" i="26"/>
  <c r="S72" i="26" s="1"/>
  <c r="L72" i="26"/>
  <c r="R72" i="26" s="1"/>
  <c r="K72" i="26"/>
  <c r="Q72" i="26" s="1"/>
  <c r="S71" i="26"/>
  <c r="R71" i="26"/>
  <c r="Q71" i="26"/>
  <c r="M71" i="26"/>
  <c r="L71" i="26"/>
  <c r="K71" i="26"/>
  <c r="M70" i="26"/>
  <c r="S70" i="26" s="1"/>
  <c r="L70" i="26"/>
  <c r="R70" i="26" s="1"/>
  <c r="K70" i="26"/>
  <c r="Q70" i="26" s="1"/>
  <c r="S69" i="26"/>
  <c r="R69" i="26"/>
  <c r="Q69" i="26"/>
  <c r="M69" i="26"/>
  <c r="L69" i="26"/>
  <c r="K69" i="26"/>
  <c r="M68" i="26"/>
  <c r="S68" i="26" s="1"/>
  <c r="L68" i="26"/>
  <c r="R68" i="26" s="1"/>
  <c r="K68" i="26"/>
  <c r="Q68" i="26" s="1"/>
  <c r="S67" i="26"/>
  <c r="R67" i="26"/>
  <c r="Q67" i="26"/>
  <c r="M67" i="26"/>
  <c r="L67" i="26"/>
  <c r="K67" i="26"/>
  <c r="M66" i="26"/>
  <c r="S66" i="26" s="1"/>
  <c r="L66" i="26"/>
  <c r="R66" i="26" s="1"/>
  <c r="K66" i="26"/>
  <c r="Q66" i="26" s="1"/>
  <c r="S65" i="26"/>
  <c r="R65" i="26"/>
  <c r="Q65" i="26"/>
  <c r="M65" i="26"/>
  <c r="L65" i="26"/>
  <c r="K65" i="26"/>
  <c r="M64" i="26"/>
  <c r="S64" i="26" s="1"/>
  <c r="L64" i="26"/>
  <c r="R64" i="26" s="1"/>
  <c r="K64" i="26"/>
  <c r="Q64" i="26" s="1"/>
  <c r="S63" i="26"/>
  <c r="R63" i="26"/>
  <c r="Q63" i="26"/>
  <c r="M63" i="26"/>
  <c r="L63" i="26"/>
  <c r="K63" i="26"/>
  <c r="M62" i="26"/>
  <c r="S62" i="26" s="1"/>
  <c r="L62" i="26"/>
  <c r="R62" i="26" s="1"/>
  <c r="K62" i="26"/>
  <c r="Q62" i="26" s="1"/>
  <c r="S61" i="26"/>
  <c r="R61" i="26"/>
  <c r="Q61" i="26"/>
  <c r="M61" i="26"/>
  <c r="L61" i="26"/>
  <c r="K61" i="26"/>
  <c r="M60" i="26"/>
  <c r="S60" i="26" s="1"/>
  <c r="L60" i="26"/>
  <c r="R60" i="26" s="1"/>
  <c r="K60" i="26"/>
  <c r="Q60" i="26" s="1"/>
  <c r="S59" i="26"/>
  <c r="R59" i="26"/>
  <c r="Q59" i="26"/>
  <c r="M59" i="26"/>
  <c r="L59" i="26"/>
  <c r="K59" i="26"/>
  <c r="M58" i="26"/>
  <c r="S58" i="26" s="1"/>
  <c r="L58" i="26"/>
  <c r="R58" i="26" s="1"/>
  <c r="K58" i="26"/>
  <c r="Q58" i="26" s="1"/>
  <c r="J81" i="26" l="1"/>
  <c r="P46" i="46" l="1"/>
  <c r="O46" i="46"/>
  <c r="N46" i="46"/>
  <c r="I46" i="46"/>
  <c r="H46" i="46"/>
  <c r="D46" i="46"/>
  <c r="C46" i="46"/>
  <c r="M45" i="46"/>
  <c r="L45" i="46"/>
  <c r="K45" i="46"/>
  <c r="L44" i="46"/>
  <c r="L46" i="46" s="1"/>
  <c r="R46" i="46" s="1"/>
  <c r="K44" i="46"/>
  <c r="K46" i="46" s="1"/>
  <c r="Q46" i="46" s="1"/>
  <c r="J44" i="46"/>
  <c r="M44" i="46" s="1"/>
  <c r="M46" i="46" s="1"/>
  <c r="S46" i="46" s="1"/>
  <c r="I44" i="46"/>
  <c r="H44" i="46"/>
  <c r="G44" i="46"/>
  <c r="G46" i="46" s="1"/>
  <c r="F44" i="46"/>
  <c r="F46" i="46" s="1"/>
  <c r="E44" i="46"/>
  <c r="E46" i="46" s="1"/>
  <c r="D44" i="46"/>
  <c r="C44" i="46"/>
  <c r="S43" i="46"/>
  <c r="R43" i="46"/>
  <c r="Q43" i="46"/>
  <c r="S41" i="46"/>
  <c r="R41" i="46"/>
  <c r="M41" i="46"/>
  <c r="L41" i="46"/>
  <c r="K41" i="46"/>
  <c r="Q41" i="46" s="1"/>
  <c r="M40" i="46"/>
  <c r="S40" i="46" s="1"/>
  <c r="L40" i="46"/>
  <c r="R40" i="46" s="1"/>
  <c r="K40" i="46"/>
  <c r="Q40" i="46" s="1"/>
  <c r="S39" i="46"/>
  <c r="R39" i="46"/>
  <c r="M39" i="46"/>
  <c r="L39" i="46"/>
  <c r="K39" i="46"/>
  <c r="Q39" i="46" s="1"/>
  <c r="M38" i="46"/>
  <c r="S38" i="46" s="1"/>
  <c r="L38" i="46"/>
  <c r="R38" i="46" s="1"/>
  <c r="K38" i="46"/>
  <c r="Q38" i="46" s="1"/>
  <c r="S37" i="46"/>
  <c r="R37" i="46"/>
  <c r="M37" i="46"/>
  <c r="L37" i="46"/>
  <c r="K37" i="46"/>
  <c r="Q37" i="46" s="1"/>
  <c r="J46" i="46" l="1"/>
  <c r="L38" i="9" l="1"/>
  <c r="K38" i="9"/>
  <c r="J38" i="9"/>
  <c r="I40" i="52" l="1"/>
  <c r="J40" i="52"/>
  <c r="H40" i="52"/>
  <c r="I38" i="52"/>
  <c r="J38" i="52"/>
  <c r="H38" i="52"/>
  <c r="J36" i="52"/>
  <c r="I36" i="52"/>
  <c r="H36" i="52"/>
  <c r="D39" i="17" l="1"/>
  <c r="D37" i="17"/>
  <c r="C37" i="17"/>
  <c r="I9" i="65" l="1"/>
  <c r="Y8" i="65"/>
  <c r="X8" i="65"/>
  <c r="W8" i="65"/>
  <c r="V8" i="65"/>
  <c r="V9" i="65" s="1"/>
  <c r="U8" i="65"/>
  <c r="U9" i="65" s="1"/>
  <c r="T8" i="65"/>
  <c r="T9" i="65" s="1"/>
  <c r="S8" i="65"/>
  <c r="S9" i="65" s="1"/>
  <c r="R8" i="65"/>
  <c r="R9" i="65" s="1"/>
  <c r="Q8" i="65"/>
  <c r="Q9" i="65" s="1"/>
  <c r="P8" i="65"/>
  <c r="P9" i="65" s="1"/>
  <c r="O8" i="65"/>
  <c r="O9" i="65" s="1"/>
  <c r="N8" i="65"/>
  <c r="N9" i="65" s="1"/>
  <c r="M8" i="65"/>
  <c r="M9" i="65" s="1"/>
  <c r="L8" i="65"/>
  <c r="L9" i="65" s="1"/>
  <c r="J8" i="65"/>
  <c r="J9" i="65" s="1"/>
  <c r="I8" i="65"/>
  <c r="H8" i="65"/>
  <c r="H9" i="65" s="1"/>
  <c r="G8" i="65"/>
  <c r="G9" i="65" s="1"/>
  <c r="E8" i="65"/>
  <c r="D8" i="65"/>
  <c r="C8" i="65"/>
  <c r="B8" i="65"/>
  <c r="F8" i="65" l="1"/>
  <c r="F9" i="65" s="1"/>
  <c r="K8" i="65" l="1"/>
  <c r="K9" i="65" s="1"/>
  <c r="Y8" i="64" l="1"/>
  <c r="X8" i="64"/>
  <c r="W8" i="64"/>
  <c r="V8" i="64"/>
  <c r="V9" i="64" s="1"/>
  <c r="T8" i="64"/>
  <c r="T9" i="64" s="1"/>
  <c r="S8" i="64"/>
  <c r="S9" i="64" s="1"/>
  <c r="R8" i="64"/>
  <c r="R9" i="64" s="1"/>
  <c r="Q8" i="64"/>
  <c r="Q9" i="64" s="1"/>
  <c r="P8" i="64"/>
  <c r="P9" i="64" s="1"/>
  <c r="O8" i="64"/>
  <c r="O9" i="64" s="1"/>
  <c r="N8" i="64"/>
  <c r="N9" i="64" s="1"/>
  <c r="M8" i="64"/>
  <c r="M9" i="64" s="1"/>
  <c r="L8" i="64"/>
  <c r="L9" i="64" s="1"/>
  <c r="K8" i="64"/>
  <c r="K9" i="64" s="1"/>
  <c r="J8" i="64"/>
  <c r="J9" i="64" s="1"/>
  <c r="I8" i="64"/>
  <c r="I9" i="64" s="1"/>
  <c r="H8" i="64"/>
  <c r="H9" i="64" s="1"/>
  <c r="G8" i="64"/>
  <c r="G9" i="64" s="1"/>
  <c r="F8" i="64"/>
  <c r="F9" i="64" s="1"/>
  <c r="E8" i="64"/>
  <c r="D8" i="64"/>
  <c r="C8" i="64"/>
  <c r="B8" i="64"/>
  <c r="U8" i="64" l="1"/>
  <c r="U9" i="64" s="1"/>
  <c r="P39" i="63"/>
  <c r="O39" i="63"/>
  <c r="N39" i="63"/>
  <c r="H39" i="63"/>
  <c r="G39" i="63"/>
  <c r="F39" i="63"/>
  <c r="E39" i="63"/>
  <c r="M38" i="63"/>
  <c r="L38" i="63"/>
  <c r="K37" i="63"/>
  <c r="K39" i="63" s="1"/>
  <c r="Q39" i="63" s="1"/>
  <c r="H37" i="63"/>
  <c r="G37" i="63"/>
  <c r="F37" i="63"/>
  <c r="E37" i="63"/>
  <c r="P39" i="62"/>
  <c r="O39" i="62"/>
  <c r="N39" i="62"/>
  <c r="M39" i="62"/>
  <c r="S39" i="62" s="1"/>
  <c r="L39" i="62"/>
  <c r="R39" i="62" s="1"/>
  <c r="K39" i="62"/>
  <c r="Q39" i="62" s="1"/>
  <c r="J39" i="62"/>
  <c r="I39" i="62"/>
  <c r="H39" i="62"/>
  <c r="C39" i="62"/>
  <c r="F19" i="62" s="1"/>
  <c r="J37" i="62"/>
  <c r="I37" i="62"/>
  <c r="H37" i="62"/>
  <c r="G37" i="62"/>
  <c r="G39" i="62" s="1"/>
  <c r="F37" i="62"/>
  <c r="F39" i="62" s="1"/>
  <c r="E37" i="62"/>
  <c r="E39" i="62" s="1"/>
  <c r="D37" i="62"/>
  <c r="D39" i="62" s="1"/>
  <c r="G19" i="62" s="1"/>
  <c r="C37" i="62"/>
  <c r="S36" i="62"/>
  <c r="R36" i="62"/>
  <c r="Q36" i="62"/>
  <c r="S35" i="62"/>
  <c r="R35" i="62"/>
  <c r="Q35" i="62"/>
  <c r="F35" i="62"/>
  <c r="E35" i="62"/>
  <c r="J19" i="62"/>
  <c r="I19" i="62"/>
  <c r="H19" i="62"/>
  <c r="S39" i="61"/>
  <c r="P39" i="61"/>
  <c r="O39" i="61"/>
  <c r="N39" i="61"/>
  <c r="M39" i="61"/>
  <c r="L39" i="61"/>
  <c r="R39" i="61" s="1"/>
  <c r="K39" i="61"/>
  <c r="Q39" i="61" s="1"/>
  <c r="J39" i="61"/>
  <c r="I39" i="61"/>
  <c r="H39" i="61"/>
  <c r="G39" i="61"/>
  <c r="F39" i="61"/>
  <c r="J37" i="61"/>
  <c r="I37" i="61"/>
  <c r="H37" i="61"/>
  <c r="E37" i="61"/>
  <c r="E39" i="61" s="1"/>
  <c r="D37" i="61"/>
  <c r="D39" i="61" s="1"/>
  <c r="G19" i="61" s="1"/>
  <c r="C37" i="61"/>
  <c r="C39" i="61" s="1"/>
  <c r="F19" i="61" s="1"/>
  <c r="S36" i="61"/>
  <c r="R36" i="61"/>
  <c r="Q36" i="61"/>
  <c r="S35" i="61"/>
  <c r="R35" i="61"/>
  <c r="Q35" i="61"/>
  <c r="E35" i="61"/>
  <c r="J19" i="61"/>
  <c r="I19" i="61"/>
  <c r="H19" i="61"/>
  <c r="P39" i="17" l="1"/>
  <c r="O39" i="17"/>
  <c r="N39" i="17"/>
  <c r="G39" i="17"/>
  <c r="F39" i="17"/>
  <c r="C39" i="17"/>
  <c r="M38" i="17"/>
  <c r="L38" i="17"/>
  <c r="K38" i="17"/>
  <c r="J37" i="17"/>
  <c r="M37" i="17" s="1"/>
  <c r="M39" i="17" s="1"/>
  <c r="S39" i="17" s="1"/>
  <c r="I37" i="17"/>
  <c r="L37" i="17" s="1"/>
  <c r="L39" i="17" s="1"/>
  <c r="R39" i="17" s="1"/>
  <c r="H37" i="17"/>
  <c r="K37" i="17" s="1"/>
  <c r="K39" i="17" s="1"/>
  <c r="Q39" i="17" s="1"/>
  <c r="G37" i="17"/>
  <c r="F37" i="17"/>
  <c r="E37" i="17"/>
  <c r="E39" i="17" s="1"/>
  <c r="M36" i="17"/>
  <c r="S36" i="17" s="1"/>
  <c r="L36" i="17"/>
  <c r="R36" i="17" s="1"/>
  <c r="K36" i="17"/>
  <c r="Q36" i="17" s="1"/>
  <c r="H39" i="17" l="1"/>
  <c r="I39" i="17"/>
  <c r="J39" i="17"/>
  <c r="P49" i="58" l="1"/>
  <c r="O49" i="58"/>
  <c r="N49" i="58"/>
  <c r="J49" i="58"/>
  <c r="I49" i="58"/>
  <c r="H49" i="58"/>
  <c r="J47" i="58"/>
  <c r="I47" i="58"/>
  <c r="H47" i="58"/>
  <c r="Q46" i="58"/>
  <c r="M46" i="58"/>
  <c r="S46" i="58" s="1"/>
  <c r="L46" i="58"/>
  <c r="R46" i="58" s="1"/>
  <c r="M45" i="58"/>
  <c r="L45" i="58"/>
  <c r="K45" i="58"/>
  <c r="D45" i="58"/>
  <c r="C45" i="58"/>
  <c r="M44" i="58"/>
  <c r="S44" i="58" s="1"/>
  <c r="L44" i="58"/>
  <c r="R44" i="58" s="1"/>
  <c r="Q44" i="58"/>
  <c r="C44" i="58"/>
  <c r="F44" i="58" s="1"/>
  <c r="M43" i="58"/>
  <c r="G43" i="58" s="1"/>
  <c r="L43" i="58"/>
  <c r="F43" i="58" s="1"/>
  <c r="K43" i="58"/>
  <c r="Q43" i="58" s="1"/>
  <c r="D43" i="58"/>
  <c r="C43" i="58"/>
  <c r="M42" i="58"/>
  <c r="S42" i="58" s="1"/>
  <c r="L42" i="58"/>
  <c r="R42" i="58" s="1"/>
  <c r="K42" i="58"/>
  <c r="Q42" i="58" s="1"/>
  <c r="D42" i="58"/>
  <c r="C42" i="58"/>
  <c r="M41" i="58"/>
  <c r="S41" i="58" s="1"/>
  <c r="L41" i="58"/>
  <c r="R41" i="58" s="1"/>
  <c r="K41" i="58"/>
  <c r="Q41" i="58" s="1"/>
  <c r="D41" i="58"/>
  <c r="C41" i="58"/>
  <c r="F41" i="58" s="1"/>
  <c r="M40" i="58"/>
  <c r="S40" i="58" s="1"/>
  <c r="L40" i="58"/>
  <c r="R40" i="58" s="1"/>
  <c r="K40" i="58"/>
  <c r="Q40" i="58" s="1"/>
  <c r="D40" i="58"/>
  <c r="C40" i="58"/>
  <c r="M39" i="58"/>
  <c r="S39" i="58" s="1"/>
  <c r="L39" i="58"/>
  <c r="R39" i="58" s="1"/>
  <c r="K39" i="58"/>
  <c r="Q39" i="58" s="1"/>
  <c r="G39" i="58"/>
  <c r="F39" i="58"/>
  <c r="E39" i="58"/>
  <c r="D39" i="58"/>
  <c r="M38" i="58"/>
  <c r="S38" i="58" s="1"/>
  <c r="L38" i="58"/>
  <c r="R38" i="58" s="1"/>
  <c r="K38" i="58"/>
  <c r="Q38" i="58" s="1"/>
  <c r="D38" i="58"/>
  <c r="C38" i="58"/>
  <c r="G38" i="58" s="1"/>
  <c r="M37" i="58"/>
  <c r="S37" i="58" s="1"/>
  <c r="L37" i="58"/>
  <c r="R37" i="58" s="1"/>
  <c r="K37" i="58"/>
  <c r="Q37" i="58" s="1"/>
  <c r="D37" i="58"/>
  <c r="C37" i="58"/>
  <c r="M36" i="58"/>
  <c r="S36" i="58" s="1"/>
  <c r="L36" i="58"/>
  <c r="F36" i="58" s="1"/>
  <c r="K36" i="58"/>
  <c r="E36" i="58" s="1"/>
  <c r="D36" i="58"/>
  <c r="M35" i="58"/>
  <c r="L35" i="58"/>
  <c r="K35" i="58"/>
  <c r="D35" i="58"/>
  <c r="C35" i="58"/>
  <c r="E45" i="58" l="1"/>
  <c r="D48" i="58"/>
  <c r="G36" i="58"/>
  <c r="F45" i="58"/>
  <c r="C48" i="58"/>
  <c r="G45" i="58"/>
  <c r="M47" i="58"/>
  <c r="M49" i="58" s="1"/>
  <c r="S49" i="58" s="1"/>
  <c r="E43" i="58"/>
  <c r="C49" i="58"/>
  <c r="F19" i="58" s="1"/>
  <c r="L47" i="58"/>
  <c r="L49" i="58" s="1"/>
  <c r="R49" i="58" s="1"/>
  <c r="F38" i="58"/>
  <c r="D49" i="58"/>
  <c r="G19" i="58" s="1"/>
  <c r="E40" i="58"/>
  <c r="Q45" i="58"/>
  <c r="E38" i="58"/>
  <c r="G37" i="58"/>
  <c r="F40" i="58"/>
  <c r="R43" i="58"/>
  <c r="R45" i="58"/>
  <c r="K47" i="58"/>
  <c r="K49" i="58" s="1"/>
  <c r="G40" i="58"/>
  <c r="E42" i="58"/>
  <c r="S43" i="58"/>
  <c r="M50" i="58"/>
  <c r="E41" i="58"/>
  <c r="Q35" i="58"/>
  <c r="G41" i="58"/>
  <c r="S45" i="58"/>
  <c r="Q36" i="58"/>
  <c r="F42" i="58"/>
  <c r="G42" i="58"/>
  <c r="G44" i="58"/>
  <c r="E35" i="58"/>
  <c r="F35" i="58"/>
  <c r="R35" i="58"/>
  <c r="E37" i="58"/>
  <c r="F37" i="58"/>
  <c r="S35" i="58"/>
  <c r="E44" i="58"/>
  <c r="G35" i="58"/>
  <c r="R36" i="58"/>
  <c r="L50" i="58" l="1"/>
  <c r="H19" i="58"/>
  <c r="F47" i="58"/>
  <c r="F49" i="58" s="1"/>
  <c r="Q49" i="58"/>
  <c r="E47" i="58"/>
  <c r="E49" i="58" s="1"/>
  <c r="J19" i="58"/>
  <c r="I19" i="58"/>
  <c r="G47" i="58"/>
  <c r="G49" i="58" s="1"/>
  <c r="P39" i="57" l="1"/>
  <c r="O39" i="57"/>
  <c r="N39" i="57"/>
  <c r="C39" i="57"/>
  <c r="M37" i="57"/>
  <c r="M39" i="57" s="1"/>
  <c r="S39" i="57" s="1"/>
  <c r="L37" i="57"/>
  <c r="L39" i="57" s="1"/>
  <c r="R39" i="57" s="1"/>
  <c r="J37" i="57"/>
  <c r="J39" i="57" s="1"/>
  <c r="I37" i="57"/>
  <c r="I39" i="57" s="1"/>
  <c r="H37" i="57"/>
  <c r="H39" i="57" s="1"/>
  <c r="G37" i="57"/>
  <c r="G39" i="57" s="1"/>
  <c r="C37" i="57"/>
  <c r="S36" i="57"/>
  <c r="R36" i="57"/>
  <c r="K36" i="57"/>
  <c r="Q36" i="57" s="1"/>
  <c r="G36" i="57"/>
  <c r="F36" i="57"/>
  <c r="D36" i="57"/>
  <c r="S35" i="57"/>
  <c r="R35" i="57"/>
  <c r="K35" i="57"/>
  <c r="Q35" i="57" s="1"/>
  <c r="G35" i="57"/>
  <c r="F35" i="57"/>
  <c r="F37" i="57" s="1"/>
  <c r="F39" i="57" s="1"/>
  <c r="D35" i="57"/>
  <c r="D37" i="57" l="1"/>
  <c r="D39" i="57" s="1"/>
  <c r="E35" i="57"/>
  <c r="E36" i="57"/>
  <c r="K37" i="57"/>
  <c r="K39" i="57" s="1"/>
  <c r="Q39" i="57" s="1"/>
  <c r="E37" i="57" l="1"/>
  <c r="E39" i="57" s="1"/>
  <c r="P39" i="56"/>
  <c r="O39" i="56"/>
  <c r="N39" i="56"/>
  <c r="I39" i="56"/>
  <c r="H39" i="56"/>
  <c r="J37" i="56"/>
  <c r="J39" i="56" s="1"/>
  <c r="I37" i="56"/>
  <c r="H37" i="56"/>
  <c r="L36" i="56"/>
  <c r="R36" i="56" s="1"/>
  <c r="K36" i="56"/>
  <c r="Q36" i="56" s="1"/>
  <c r="C36" i="56"/>
  <c r="L35" i="56"/>
  <c r="M35" i="56" s="1"/>
  <c r="Q35" i="56"/>
  <c r="C35" i="56"/>
  <c r="C37" i="56" s="1"/>
  <c r="C39" i="56" s="1"/>
  <c r="P83" i="55"/>
  <c r="O83" i="55"/>
  <c r="N83" i="55"/>
  <c r="J83" i="55"/>
  <c r="I83" i="55"/>
  <c r="H83" i="55"/>
  <c r="J81" i="55"/>
  <c r="I81" i="55"/>
  <c r="H81" i="55"/>
  <c r="Q80" i="55"/>
  <c r="M80" i="55"/>
  <c r="S80" i="55" s="1"/>
  <c r="L80" i="55"/>
  <c r="R80" i="55" s="1"/>
  <c r="M79" i="55"/>
  <c r="L79" i="55"/>
  <c r="K79" i="55"/>
  <c r="D79" i="55"/>
  <c r="C79" i="55"/>
  <c r="M78" i="55"/>
  <c r="S78" i="55" s="1"/>
  <c r="L78" i="55"/>
  <c r="R78" i="55" s="1"/>
  <c r="K78" i="55"/>
  <c r="Q78" i="55" s="1"/>
  <c r="D78" i="55"/>
  <c r="C78" i="55"/>
  <c r="M77" i="55"/>
  <c r="L77" i="55"/>
  <c r="K77" i="55"/>
  <c r="D77" i="55"/>
  <c r="C77" i="55"/>
  <c r="M76" i="55"/>
  <c r="S76" i="55" s="1"/>
  <c r="L76" i="55"/>
  <c r="R76" i="55" s="1"/>
  <c r="K76" i="55"/>
  <c r="Q76" i="55" s="1"/>
  <c r="D76" i="55"/>
  <c r="C76" i="55"/>
  <c r="M75" i="55"/>
  <c r="L75" i="55"/>
  <c r="K75" i="55"/>
  <c r="Q75" i="55" s="1"/>
  <c r="D75" i="55"/>
  <c r="C75" i="55"/>
  <c r="E75" i="55" s="1"/>
  <c r="M74" i="55"/>
  <c r="G74" i="55" s="1"/>
  <c r="L74" i="55"/>
  <c r="F74" i="55" s="1"/>
  <c r="K74" i="55"/>
  <c r="E74" i="55" s="1"/>
  <c r="D74" i="55"/>
  <c r="B74" i="55"/>
  <c r="M73" i="55"/>
  <c r="S73" i="55" s="1"/>
  <c r="L73" i="55"/>
  <c r="K73" i="55"/>
  <c r="D73" i="55"/>
  <c r="C73" i="55"/>
  <c r="B73" i="55"/>
  <c r="M72" i="55"/>
  <c r="S72" i="55" s="1"/>
  <c r="L72" i="55"/>
  <c r="R72" i="55" s="1"/>
  <c r="K72" i="55"/>
  <c r="Q72" i="55" s="1"/>
  <c r="D72" i="55"/>
  <c r="C72" i="55"/>
  <c r="F72" i="55" s="1"/>
  <c r="M71" i="55"/>
  <c r="S71" i="55" s="1"/>
  <c r="L71" i="55"/>
  <c r="R71" i="55" s="1"/>
  <c r="K71" i="55"/>
  <c r="Q71" i="55" s="1"/>
  <c r="D71" i="55"/>
  <c r="C71" i="55"/>
  <c r="M70" i="55"/>
  <c r="S70" i="55" s="1"/>
  <c r="L70" i="55"/>
  <c r="R70" i="55" s="1"/>
  <c r="K70" i="55"/>
  <c r="Q70" i="55" s="1"/>
  <c r="D70" i="55"/>
  <c r="C70" i="55"/>
  <c r="F70" i="55" s="1"/>
  <c r="M69" i="55"/>
  <c r="G69" i="55" s="1"/>
  <c r="L69" i="55"/>
  <c r="F69" i="55" s="1"/>
  <c r="K69" i="55"/>
  <c r="E69" i="55" s="1"/>
  <c r="D69" i="55"/>
  <c r="B69" i="55"/>
  <c r="M68" i="55"/>
  <c r="S68" i="55" s="1"/>
  <c r="L68" i="55"/>
  <c r="R68" i="55" s="1"/>
  <c r="K68" i="55"/>
  <c r="Q68" i="55" s="1"/>
  <c r="D68" i="55"/>
  <c r="C68" i="55"/>
  <c r="G68" i="55" s="1"/>
  <c r="M67" i="55"/>
  <c r="S67" i="55" s="1"/>
  <c r="L67" i="55"/>
  <c r="R67" i="55" s="1"/>
  <c r="K67" i="55"/>
  <c r="Q67" i="55" s="1"/>
  <c r="D67" i="55"/>
  <c r="C67" i="55"/>
  <c r="M66" i="55"/>
  <c r="S66" i="55" s="1"/>
  <c r="L66" i="55"/>
  <c r="R66" i="55" s="1"/>
  <c r="K66" i="55"/>
  <c r="D66" i="55"/>
  <c r="C66" i="55"/>
  <c r="F66" i="55" s="1"/>
  <c r="M65" i="55"/>
  <c r="L65" i="55"/>
  <c r="K65" i="55"/>
  <c r="C65" i="55"/>
  <c r="B65" i="55"/>
  <c r="M64" i="55"/>
  <c r="S64" i="55" s="1"/>
  <c r="L64" i="55"/>
  <c r="R64" i="55" s="1"/>
  <c r="K64" i="55"/>
  <c r="Q64" i="55" s="1"/>
  <c r="D64" i="55"/>
  <c r="C64" i="55"/>
  <c r="M63" i="55"/>
  <c r="S63" i="55" s="1"/>
  <c r="L63" i="55"/>
  <c r="R63" i="55" s="1"/>
  <c r="K63" i="55"/>
  <c r="Q63" i="55" s="1"/>
  <c r="D63" i="55"/>
  <c r="C63" i="55"/>
  <c r="M62" i="55"/>
  <c r="S62" i="55" s="1"/>
  <c r="L62" i="55"/>
  <c r="K62" i="55"/>
  <c r="D62" i="55"/>
  <c r="C62" i="55"/>
  <c r="G62" i="55" s="1"/>
  <c r="M61" i="55"/>
  <c r="S61" i="55" s="1"/>
  <c r="L61" i="55"/>
  <c r="R61" i="55" s="1"/>
  <c r="K61" i="55"/>
  <c r="D61" i="55"/>
  <c r="C61" i="55"/>
  <c r="F61" i="55" s="1"/>
  <c r="M60" i="55"/>
  <c r="L60" i="55"/>
  <c r="K60" i="55"/>
  <c r="Q60" i="55" s="1"/>
  <c r="D60" i="55"/>
  <c r="C60" i="55"/>
  <c r="F39" i="55"/>
  <c r="P21" i="55"/>
  <c r="D44" i="24"/>
  <c r="D42" i="24"/>
  <c r="E63" i="55" l="1"/>
  <c r="D37" i="56"/>
  <c r="D39" i="56" s="1"/>
  <c r="E64" i="55"/>
  <c r="F76" i="55"/>
  <c r="F36" i="56"/>
  <c r="M81" i="55"/>
  <c r="M83" i="55" s="1"/>
  <c r="S83" i="55" s="1"/>
  <c r="G65" i="55"/>
  <c r="G73" i="55"/>
  <c r="F64" i="55"/>
  <c r="R35" i="56"/>
  <c r="G75" i="55"/>
  <c r="K37" i="56"/>
  <c r="K39" i="56" s="1"/>
  <c r="Q39" i="56" s="1"/>
  <c r="G64" i="55"/>
  <c r="L37" i="56"/>
  <c r="L39" i="56" s="1"/>
  <c r="R39" i="56" s="1"/>
  <c r="F75" i="55"/>
  <c r="E60" i="55"/>
  <c r="F71" i="55"/>
  <c r="G35" i="56"/>
  <c r="S35" i="56"/>
  <c r="E35" i="56"/>
  <c r="M36" i="56"/>
  <c r="M37" i="56" s="1"/>
  <c r="M39" i="56" s="1"/>
  <c r="S39" i="56" s="1"/>
  <c r="F35" i="56"/>
  <c r="F37" i="56" s="1"/>
  <c r="F39" i="56" s="1"/>
  <c r="E36" i="56"/>
  <c r="K81" i="55"/>
  <c r="K83" i="55" s="1"/>
  <c r="K84" i="55" s="1"/>
  <c r="F79" i="55"/>
  <c r="R75" i="55"/>
  <c r="G70" i="55"/>
  <c r="G79" i="55"/>
  <c r="F62" i="55"/>
  <c r="E77" i="55"/>
  <c r="E62" i="55"/>
  <c r="F77" i="55"/>
  <c r="E73" i="55"/>
  <c r="G66" i="55"/>
  <c r="G77" i="55"/>
  <c r="F73" i="55"/>
  <c r="Q73" i="55"/>
  <c r="E68" i="55"/>
  <c r="R73" i="55"/>
  <c r="E66" i="55"/>
  <c r="Q77" i="55"/>
  <c r="F68" i="55"/>
  <c r="R77" i="55"/>
  <c r="S75" i="55"/>
  <c r="E78" i="55"/>
  <c r="E70" i="55"/>
  <c r="E79" i="55"/>
  <c r="D83" i="55"/>
  <c r="L81" i="55"/>
  <c r="L83" i="55" s="1"/>
  <c r="R83" i="55" s="1"/>
  <c r="E67" i="55"/>
  <c r="C82" i="55"/>
  <c r="D82" i="55"/>
  <c r="C83" i="55"/>
  <c r="Q62" i="55"/>
  <c r="G72" i="55"/>
  <c r="Q66" i="55"/>
  <c r="E61" i="55"/>
  <c r="F78" i="55"/>
  <c r="G61" i="55"/>
  <c r="G63" i="55"/>
  <c r="E65" i="55"/>
  <c r="F67" i="55"/>
  <c r="E71" i="55"/>
  <c r="S60" i="55"/>
  <c r="S79" i="55"/>
  <c r="G76" i="55"/>
  <c r="F65" i="55"/>
  <c r="Q61" i="55"/>
  <c r="R79" i="55"/>
  <c r="G78" i="55"/>
  <c r="F63" i="55"/>
  <c r="G67" i="55"/>
  <c r="G71" i="55"/>
  <c r="E72" i="55"/>
  <c r="R60" i="55"/>
  <c r="Q79" i="55"/>
  <c r="E76" i="55"/>
  <c r="R62" i="55"/>
  <c r="F60" i="55"/>
  <c r="G60" i="55"/>
  <c r="S77" i="55"/>
  <c r="D41" i="40"/>
  <c r="C41" i="40"/>
  <c r="Q83" i="55" l="1"/>
  <c r="E37" i="56"/>
  <c r="E39" i="56" s="1"/>
  <c r="S36" i="56"/>
  <c r="G36" i="56"/>
  <c r="G37" i="56" s="1"/>
  <c r="G39" i="56" s="1"/>
  <c r="E81" i="55"/>
  <c r="E83" i="55" s="1"/>
  <c r="G81" i="55"/>
  <c r="G83" i="55" s="1"/>
  <c r="F81" i="55"/>
  <c r="F83" i="55" s="1"/>
  <c r="P44" i="20"/>
  <c r="O44" i="20"/>
  <c r="N44" i="20"/>
  <c r="I44" i="20"/>
  <c r="D44" i="20"/>
  <c r="C44" i="20"/>
  <c r="D43" i="20"/>
  <c r="C43" i="20"/>
  <c r="M43" i="20" s="1"/>
  <c r="L42" i="20"/>
  <c r="I42" i="20"/>
  <c r="G42" i="20"/>
  <c r="G44" i="20" s="1"/>
  <c r="F42" i="20"/>
  <c r="F44" i="20" s="1"/>
  <c r="E42" i="20"/>
  <c r="E44" i="20" s="1"/>
  <c r="D42" i="20"/>
  <c r="C42" i="20"/>
  <c r="G41" i="20"/>
  <c r="M41" i="20" s="1"/>
  <c r="S41" i="20" s="1"/>
  <c r="F41" i="20"/>
  <c r="L41" i="20" s="1"/>
  <c r="R41" i="20" s="1"/>
  <c r="E41" i="20"/>
  <c r="K41" i="20" s="1"/>
  <c r="Q41" i="20" s="1"/>
  <c r="M40" i="20"/>
  <c r="S40" i="20" s="1"/>
  <c r="L40" i="20"/>
  <c r="R40" i="20" s="1"/>
  <c r="K40" i="20"/>
  <c r="Q40" i="20" s="1"/>
  <c r="J40" i="20"/>
  <c r="I40" i="20"/>
  <c r="H40" i="20"/>
  <c r="G40" i="20"/>
  <c r="F40" i="20"/>
  <c r="E40" i="20"/>
  <c r="M39" i="20"/>
  <c r="S39" i="20" s="1"/>
  <c r="L39" i="20"/>
  <c r="R39" i="20" s="1"/>
  <c r="K39" i="20"/>
  <c r="Q39" i="20" s="1"/>
  <c r="J39" i="20"/>
  <c r="J42" i="20" s="1"/>
  <c r="I39" i="20"/>
  <c r="H39" i="20"/>
  <c r="H42" i="20" s="1"/>
  <c r="H44" i="20" s="1"/>
  <c r="G39" i="20"/>
  <c r="F39" i="20"/>
  <c r="E39" i="20"/>
  <c r="J44" i="20" l="1"/>
  <c r="M42" i="20"/>
  <c r="M44" i="20" s="1"/>
  <c r="S44" i="20" s="1"/>
  <c r="K42" i="20"/>
  <c r="L43" i="20"/>
  <c r="L44" i="20" s="1"/>
  <c r="R44" i="20" s="1"/>
  <c r="K43" i="20"/>
  <c r="K44" i="20" l="1"/>
  <c r="Q44" i="20" s="1"/>
  <c r="P41" i="54" l="1"/>
  <c r="O41" i="54"/>
  <c r="N41" i="54"/>
  <c r="I41" i="54"/>
  <c r="H41" i="54"/>
  <c r="D41" i="54"/>
  <c r="C41" i="54"/>
  <c r="M40" i="54"/>
  <c r="L40" i="54"/>
  <c r="K40" i="54"/>
  <c r="L39" i="54"/>
  <c r="L41" i="54" s="1"/>
  <c r="R41" i="54" s="1"/>
  <c r="K39" i="54"/>
  <c r="K41" i="54" s="1"/>
  <c r="Q41" i="54" s="1"/>
  <c r="J39" i="54"/>
  <c r="M39" i="54" s="1"/>
  <c r="M41" i="54" s="1"/>
  <c r="S41" i="54" s="1"/>
  <c r="I39" i="54"/>
  <c r="H39" i="54"/>
  <c r="G39" i="54"/>
  <c r="G41" i="54" s="1"/>
  <c r="F39" i="54"/>
  <c r="F41" i="54" s="1"/>
  <c r="E39" i="54"/>
  <c r="E41" i="54" s="1"/>
  <c r="D39" i="54"/>
  <c r="C39" i="54"/>
  <c r="Q38" i="54"/>
  <c r="M38" i="54"/>
  <c r="S38" i="54" s="1"/>
  <c r="L38" i="54"/>
  <c r="R38" i="54" s="1"/>
  <c r="K38" i="54"/>
  <c r="M37" i="54"/>
  <c r="S37" i="54" s="1"/>
  <c r="L37" i="54"/>
  <c r="R37" i="54" s="1"/>
  <c r="K37" i="54"/>
  <c r="Q37" i="54" s="1"/>
  <c r="Q36" i="54"/>
  <c r="M36" i="54"/>
  <c r="S36" i="54" s="1"/>
  <c r="L36" i="54"/>
  <c r="R36" i="54" s="1"/>
  <c r="K36" i="54"/>
  <c r="M35" i="54"/>
  <c r="S35" i="54" s="1"/>
  <c r="L35" i="54"/>
  <c r="R35" i="54" s="1"/>
  <c r="K35" i="54"/>
  <c r="Q35" i="54" s="1"/>
  <c r="J41" i="54" l="1"/>
  <c r="D66" i="14" l="1"/>
  <c r="E66" i="14"/>
  <c r="F66" i="14"/>
  <c r="G66" i="14"/>
  <c r="D64" i="14"/>
  <c r="C40" i="52"/>
  <c r="C39" i="42"/>
  <c r="C60" i="1"/>
  <c r="J27" i="9" l="1"/>
  <c r="K27" i="9"/>
  <c r="L27" i="9"/>
  <c r="P27" i="9"/>
  <c r="Q27" i="9"/>
  <c r="R27" i="9"/>
  <c r="E38" i="16" l="1"/>
  <c r="E40" i="16" s="1"/>
  <c r="F38" i="16"/>
  <c r="F40" i="16" s="1"/>
  <c r="G38" i="16"/>
  <c r="G40" i="16" s="1"/>
  <c r="H38" i="16"/>
  <c r="H40" i="16" s="1"/>
  <c r="I38" i="16"/>
  <c r="I40" i="16" s="1"/>
  <c r="P40" i="16"/>
  <c r="O40" i="16"/>
  <c r="N40" i="16"/>
  <c r="D40" i="16"/>
  <c r="C40" i="16"/>
  <c r="M39" i="16"/>
  <c r="L39" i="16"/>
  <c r="K39" i="16"/>
  <c r="J38" i="16"/>
  <c r="J40" i="16" s="1"/>
  <c r="M37" i="16"/>
  <c r="M40" i="16" s="1"/>
  <c r="L37" i="16"/>
  <c r="R37" i="16" s="1"/>
  <c r="K37" i="16"/>
  <c r="K40" i="16" s="1"/>
  <c r="Q40" i="16" s="1"/>
  <c r="S40" i="16" l="1"/>
  <c r="M38" i="16"/>
  <c r="K38" i="16"/>
  <c r="L38" i="16"/>
  <c r="S37" i="16"/>
  <c r="L40" i="16"/>
  <c r="R40" i="16" s="1"/>
  <c r="Q37" i="16"/>
  <c r="C38" i="45" l="1"/>
  <c r="C41" i="44" l="1"/>
  <c r="C38" i="27" l="1"/>
  <c r="D44" i="23"/>
  <c r="D45" i="23"/>
  <c r="D46" i="23"/>
  <c r="D47" i="23"/>
  <c r="D48" i="23"/>
  <c r="D43" i="23"/>
  <c r="D58" i="23" s="1"/>
  <c r="D41" i="37"/>
  <c r="C41" i="37"/>
  <c r="I41" i="37"/>
  <c r="L37" i="38"/>
  <c r="D41" i="35"/>
  <c r="C41" i="35"/>
  <c r="K38" i="27"/>
  <c r="D37" i="39"/>
  <c r="C37" i="39"/>
  <c r="K36" i="39"/>
  <c r="C37" i="47"/>
  <c r="H35" i="25"/>
  <c r="D60" i="23"/>
  <c r="E60" i="23"/>
  <c r="F60" i="23"/>
  <c r="G60" i="23"/>
  <c r="C60" i="23"/>
  <c r="K39" i="21"/>
  <c r="C44" i="21"/>
  <c r="D40" i="49"/>
  <c r="K39" i="49"/>
  <c r="L39" i="49"/>
  <c r="R39" i="49" s="1"/>
  <c r="M39" i="49"/>
  <c r="Q39" i="49"/>
  <c r="S39" i="49"/>
  <c r="Q37" i="30"/>
  <c r="Q38" i="30"/>
  <c r="Q42" i="30"/>
  <c r="Q43" i="30"/>
  <c r="K37" i="30"/>
  <c r="K38" i="30"/>
  <c r="K39" i="30"/>
  <c r="Q39" i="30" s="1"/>
  <c r="K40" i="30"/>
  <c r="Q40" i="30" s="1"/>
  <c r="K41" i="30"/>
  <c r="Q41" i="30" s="1"/>
  <c r="K42" i="30"/>
  <c r="K43" i="30"/>
  <c r="K36" i="30"/>
  <c r="Q36" i="30" s="1"/>
  <c r="K39" i="42"/>
  <c r="K36" i="50"/>
  <c r="H40" i="50"/>
  <c r="P42" i="50" l="1"/>
  <c r="O42" i="50"/>
  <c r="N42" i="50"/>
  <c r="H42" i="50"/>
  <c r="D42" i="50"/>
  <c r="C42" i="50"/>
  <c r="M41" i="50"/>
  <c r="L41" i="50"/>
  <c r="K41" i="50"/>
  <c r="J40" i="50"/>
  <c r="J42" i="50" s="1"/>
  <c r="I40" i="50"/>
  <c r="I42" i="50" s="1"/>
  <c r="G40" i="50"/>
  <c r="M40" i="50" s="1"/>
  <c r="M42" i="50" s="1"/>
  <c r="F40" i="50"/>
  <c r="L40" i="50" s="1"/>
  <c r="L42" i="50" s="1"/>
  <c r="R42" i="50" s="1"/>
  <c r="E40" i="50"/>
  <c r="E42" i="50" s="1"/>
  <c r="D40" i="50"/>
  <c r="M39" i="50"/>
  <c r="S39" i="50" s="1"/>
  <c r="L39" i="50"/>
  <c r="R39" i="50" s="1"/>
  <c r="K39" i="50"/>
  <c r="Q39" i="50" s="1"/>
  <c r="K38" i="50"/>
  <c r="M37" i="50"/>
  <c r="S37" i="50" s="1"/>
  <c r="L37" i="50"/>
  <c r="R37" i="50" s="1"/>
  <c r="K37" i="50"/>
  <c r="Q37" i="50" s="1"/>
  <c r="M36" i="50"/>
  <c r="S36" i="50" s="1"/>
  <c r="L36" i="50"/>
  <c r="R36" i="50" s="1"/>
  <c r="Q36" i="50"/>
  <c r="P42" i="49"/>
  <c r="O42" i="49"/>
  <c r="N42" i="49"/>
  <c r="D42" i="49"/>
  <c r="C42" i="49"/>
  <c r="M41" i="49"/>
  <c r="L41" i="49"/>
  <c r="K41" i="49"/>
  <c r="J40" i="49"/>
  <c r="J42" i="49" s="1"/>
  <c r="I40" i="49"/>
  <c r="I42" i="49" s="1"/>
  <c r="H40" i="49"/>
  <c r="H42" i="49" s="1"/>
  <c r="G40" i="49"/>
  <c r="G42" i="49" s="1"/>
  <c r="F40" i="49"/>
  <c r="F42" i="49" s="1"/>
  <c r="E40" i="49"/>
  <c r="M38" i="49"/>
  <c r="S38" i="49" s="1"/>
  <c r="L38" i="49"/>
  <c r="R38" i="49" s="1"/>
  <c r="K38" i="49"/>
  <c r="Q38" i="49" s="1"/>
  <c r="M37" i="49"/>
  <c r="S37" i="49" s="1"/>
  <c r="L37" i="49"/>
  <c r="R37" i="49" s="1"/>
  <c r="K37" i="49"/>
  <c r="Q37" i="49" s="1"/>
  <c r="M36" i="49"/>
  <c r="S36" i="49" s="1"/>
  <c r="L36" i="49"/>
  <c r="R36" i="49" s="1"/>
  <c r="K36" i="49"/>
  <c r="Q36" i="49" s="1"/>
  <c r="S42" i="50" l="1"/>
  <c r="K40" i="50"/>
  <c r="K42" i="50" s="1"/>
  <c r="Q42" i="50" s="1"/>
  <c r="E42" i="49"/>
  <c r="K40" i="49"/>
  <c r="G42" i="50"/>
  <c r="F42" i="50"/>
  <c r="K42" i="49"/>
  <c r="Q42" i="49" s="1"/>
  <c r="L40" i="49"/>
  <c r="L42" i="49" s="1"/>
  <c r="R42" i="49" s="1"/>
  <c r="M40" i="49"/>
  <c r="M42" i="49" s="1"/>
  <c r="S42" i="49" s="1"/>
  <c r="P39" i="48" l="1"/>
  <c r="O39" i="48"/>
  <c r="N39" i="48"/>
  <c r="D39" i="48"/>
  <c r="C39" i="48"/>
  <c r="M38" i="48"/>
  <c r="L38" i="48"/>
  <c r="K38" i="48"/>
  <c r="J37" i="48"/>
  <c r="J39" i="48" s="1"/>
  <c r="I37" i="48"/>
  <c r="I39" i="48" s="1"/>
  <c r="H37" i="48"/>
  <c r="H39" i="48" s="1"/>
  <c r="G37" i="48"/>
  <c r="G39" i="48" s="1"/>
  <c r="F37" i="48"/>
  <c r="F39" i="48" s="1"/>
  <c r="E37" i="48"/>
  <c r="E39" i="48" s="1"/>
  <c r="M36" i="48"/>
  <c r="S36" i="48" s="1"/>
  <c r="L36" i="48"/>
  <c r="R36" i="48" s="1"/>
  <c r="K36" i="48"/>
  <c r="Q36" i="48" s="1"/>
  <c r="M37" i="48" l="1"/>
  <c r="M39" i="48" s="1"/>
  <c r="S39" i="48" s="1"/>
  <c r="K37" i="48"/>
  <c r="K39" i="48" s="1"/>
  <c r="Q39" i="48" s="1"/>
  <c r="L37" i="48"/>
  <c r="L39" i="48" s="1"/>
  <c r="R39" i="48" s="1"/>
  <c r="P39" i="47" l="1"/>
  <c r="O39" i="47"/>
  <c r="N39" i="47"/>
  <c r="D39" i="47"/>
  <c r="C39" i="47"/>
  <c r="M38" i="47"/>
  <c r="L38" i="47"/>
  <c r="K38" i="47"/>
  <c r="J37" i="47"/>
  <c r="J39" i="47" s="1"/>
  <c r="I37" i="47"/>
  <c r="I39" i="47" s="1"/>
  <c r="H37" i="47"/>
  <c r="H39" i="47" s="1"/>
  <c r="G37" i="47"/>
  <c r="G39" i="47" s="1"/>
  <c r="F37" i="47"/>
  <c r="F39" i="47" s="1"/>
  <c r="E37" i="47"/>
  <c r="E39" i="47" s="1"/>
  <c r="M36" i="47"/>
  <c r="S36" i="47" s="1"/>
  <c r="L36" i="47"/>
  <c r="R36" i="47" s="1"/>
  <c r="K36" i="47"/>
  <c r="Q36" i="47" s="1"/>
  <c r="M37" i="47" l="1"/>
  <c r="M39" i="47" s="1"/>
  <c r="S39" i="47" s="1"/>
  <c r="K37" i="47"/>
  <c r="K39" i="47" s="1"/>
  <c r="Q39" i="47" s="1"/>
  <c r="L37" i="47"/>
  <c r="L39" i="47" s="1"/>
  <c r="R39" i="47" s="1"/>
  <c r="P41" i="45" l="1"/>
  <c r="O41" i="45"/>
  <c r="N41" i="45"/>
  <c r="D41" i="45"/>
  <c r="C41" i="45"/>
  <c r="M40" i="45"/>
  <c r="L40" i="45"/>
  <c r="K40" i="45"/>
  <c r="J39" i="45"/>
  <c r="J41" i="45" s="1"/>
  <c r="I39" i="45"/>
  <c r="I41" i="45" s="1"/>
  <c r="H39" i="45"/>
  <c r="H41" i="45" s="1"/>
  <c r="G39" i="45"/>
  <c r="G41" i="45" s="1"/>
  <c r="F39" i="45"/>
  <c r="F41" i="45" s="1"/>
  <c r="E39" i="45"/>
  <c r="E41" i="45" s="1"/>
  <c r="M38" i="45"/>
  <c r="S38" i="45" s="1"/>
  <c r="L38" i="45"/>
  <c r="R38" i="45" s="1"/>
  <c r="K38" i="45"/>
  <c r="Q38" i="45" s="1"/>
  <c r="K39" i="45" l="1"/>
  <c r="K41" i="45" s="1"/>
  <c r="Q41" i="45" s="1"/>
  <c r="L39" i="45"/>
  <c r="L41" i="45" s="1"/>
  <c r="R41" i="45" s="1"/>
  <c r="M39" i="45"/>
  <c r="M41" i="45" s="1"/>
  <c r="S41" i="45" s="1"/>
  <c r="P44" i="44" l="1"/>
  <c r="O44" i="44"/>
  <c r="N44" i="44"/>
  <c r="J44" i="44"/>
  <c r="I44" i="44"/>
  <c r="G44" i="44"/>
  <c r="E44" i="44"/>
  <c r="D44" i="44"/>
  <c r="C44" i="44"/>
  <c r="M43" i="44"/>
  <c r="L43" i="44"/>
  <c r="K43" i="44"/>
  <c r="J42" i="44"/>
  <c r="I42" i="44"/>
  <c r="H42" i="44"/>
  <c r="H44" i="44" s="1"/>
  <c r="G42" i="44"/>
  <c r="M42" i="44" s="1"/>
  <c r="F42" i="44"/>
  <c r="L42" i="44" s="1"/>
  <c r="L44" i="44" s="1"/>
  <c r="R44" i="44" s="1"/>
  <c r="E42" i="44"/>
  <c r="K42" i="44" s="1"/>
  <c r="K44" i="44" s="1"/>
  <c r="Q44" i="44" s="1"/>
  <c r="M41" i="44"/>
  <c r="S41" i="44" s="1"/>
  <c r="L41" i="44"/>
  <c r="R41" i="44" s="1"/>
  <c r="K41" i="44"/>
  <c r="Q41" i="44" s="1"/>
  <c r="F44" i="44" l="1"/>
  <c r="M44" i="44"/>
  <c r="S44" i="44" s="1"/>
  <c r="P42" i="42"/>
  <c r="O42" i="42"/>
  <c r="N42" i="42"/>
  <c r="D42" i="42"/>
  <c r="C42" i="42"/>
  <c r="M41" i="42"/>
  <c r="L41" i="42"/>
  <c r="K41" i="42"/>
  <c r="J40" i="42"/>
  <c r="J42" i="42" s="1"/>
  <c r="I40" i="42"/>
  <c r="I42" i="42" s="1"/>
  <c r="H40" i="42"/>
  <c r="H42" i="42" s="1"/>
  <c r="G40" i="42"/>
  <c r="M40" i="42" s="1"/>
  <c r="M42" i="42" s="1"/>
  <c r="S42" i="42" s="1"/>
  <c r="F40" i="42"/>
  <c r="F42" i="42" s="1"/>
  <c r="E40" i="42"/>
  <c r="M39" i="42"/>
  <c r="S39" i="42" s="1"/>
  <c r="L39" i="42"/>
  <c r="R39" i="42" s="1"/>
  <c r="Q39" i="42"/>
  <c r="K40" i="42" l="1"/>
  <c r="K42" i="42" s="1"/>
  <c r="Q42" i="42" s="1"/>
  <c r="E42" i="42"/>
  <c r="L40" i="42"/>
  <c r="L42" i="42" s="1"/>
  <c r="R42" i="42" s="1"/>
  <c r="G42" i="42"/>
  <c r="P39" i="41"/>
  <c r="O39" i="41"/>
  <c r="N39" i="41"/>
  <c r="I39" i="41"/>
  <c r="H39" i="41"/>
  <c r="F39" i="41"/>
  <c r="E39" i="41"/>
  <c r="D39" i="41"/>
  <c r="C39" i="41"/>
  <c r="M38" i="41"/>
  <c r="L38" i="41"/>
  <c r="K38" i="41"/>
  <c r="J37" i="41"/>
  <c r="J39" i="41" s="1"/>
  <c r="I37" i="41"/>
  <c r="H37" i="41"/>
  <c r="G37" i="41"/>
  <c r="G39" i="41" s="1"/>
  <c r="F37" i="41"/>
  <c r="E37" i="41"/>
  <c r="D37" i="41"/>
  <c r="C37" i="41"/>
  <c r="M36" i="41"/>
  <c r="S36" i="41" s="1"/>
  <c r="L36" i="41"/>
  <c r="R36" i="41" s="1"/>
  <c r="K36" i="41"/>
  <c r="Q36" i="41" s="1"/>
  <c r="L37" i="41" l="1"/>
  <c r="L39" i="41"/>
  <c r="R39" i="41" s="1"/>
  <c r="M37" i="41"/>
  <c r="M39" i="41" s="1"/>
  <c r="S39" i="41" s="1"/>
  <c r="K37" i="41"/>
  <c r="K39" i="41" s="1"/>
  <c r="Q39" i="41" s="1"/>
  <c r="P43" i="40" l="1"/>
  <c r="O43" i="40"/>
  <c r="N43" i="40"/>
  <c r="G43" i="40"/>
  <c r="D43" i="40"/>
  <c r="C43" i="40"/>
  <c r="M42" i="40"/>
  <c r="L42" i="40"/>
  <c r="K42" i="40"/>
  <c r="J41" i="40"/>
  <c r="J43" i="40" s="1"/>
  <c r="I41" i="40"/>
  <c r="H41" i="40"/>
  <c r="G41" i="40"/>
  <c r="F41" i="40"/>
  <c r="F43" i="40" s="1"/>
  <c r="E41" i="40"/>
  <c r="E43" i="40" s="1"/>
  <c r="M40" i="40"/>
  <c r="S40" i="40" s="1"/>
  <c r="L40" i="40"/>
  <c r="R40" i="40" s="1"/>
  <c r="K40" i="40"/>
  <c r="Q40" i="40" s="1"/>
  <c r="M39" i="40"/>
  <c r="S39" i="40" s="1"/>
  <c r="L39" i="40"/>
  <c r="R39" i="40" s="1"/>
  <c r="K39" i="40"/>
  <c r="Q39" i="40" s="1"/>
  <c r="S38" i="40"/>
  <c r="R38" i="40"/>
  <c r="Q38" i="40"/>
  <c r="M38" i="40"/>
  <c r="L38" i="40"/>
  <c r="K38" i="40"/>
  <c r="M37" i="40"/>
  <c r="S37" i="40" s="1"/>
  <c r="L37" i="40"/>
  <c r="K37" i="40"/>
  <c r="Q37" i="40" s="1"/>
  <c r="H43" i="40" l="1"/>
  <c r="I43" i="40"/>
  <c r="R43" i="40"/>
  <c r="Q43" i="40"/>
  <c r="S43" i="40"/>
  <c r="R37" i="40"/>
  <c r="P39" i="39" l="1"/>
  <c r="O39" i="39"/>
  <c r="N39" i="39"/>
  <c r="D39" i="39"/>
  <c r="C39" i="39"/>
  <c r="M38" i="39"/>
  <c r="L38" i="39"/>
  <c r="J37" i="39"/>
  <c r="J39" i="39" s="1"/>
  <c r="I37" i="39"/>
  <c r="I39" i="39" s="1"/>
  <c r="H37" i="39"/>
  <c r="G37" i="39"/>
  <c r="G39" i="39" s="1"/>
  <c r="F37" i="39"/>
  <c r="F39" i="39" s="1"/>
  <c r="E37" i="39"/>
  <c r="M36" i="39"/>
  <c r="S36" i="39" s="1"/>
  <c r="L36" i="39"/>
  <c r="R36" i="39" s="1"/>
  <c r="Q36" i="39"/>
  <c r="E39" i="39" l="1"/>
  <c r="K37" i="39"/>
  <c r="K39" i="39" s="1"/>
  <c r="Q39" i="39" s="1"/>
  <c r="L37" i="39"/>
  <c r="L39" i="39" s="1"/>
  <c r="R39" i="39" s="1"/>
  <c r="M37" i="39"/>
  <c r="M39" i="39" s="1"/>
  <c r="S39" i="39" s="1"/>
  <c r="H39" i="39"/>
  <c r="P43" i="38"/>
  <c r="O43" i="38"/>
  <c r="N43" i="38"/>
  <c r="I43" i="38"/>
  <c r="H43" i="38"/>
  <c r="M42" i="38"/>
  <c r="L42" i="38"/>
  <c r="K42" i="38"/>
  <c r="L41" i="38"/>
  <c r="L43" i="38" s="1"/>
  <c r="R43" i="38" s="1"/>
  <c r="K41" i="38"/>
  <c r="K43" i="38" s="1"/>
  <c r="Q43" i="38" s="1"/>
  <c r="J41" i="38"/>
  <c r="M41" i="38" s="1"/>
  <c r="M43" i="38" s="1"/>
  <c r="S43" i="38" s="1"/>
  <c r="I41" i="38"/>
  <c r="H41" i="38"/>
  <c r="G41" i="38"/>
  <c r="G43" i="38" s="1"/>
  <c r="F41" i="38"/>
  <c r="F43" i="38" s="1"/>
  <c r="E41" i="38"/>
  <c r="E43" i="38" s="1"/>
  <c r="D41" i="38"/>
  <c r="D43" i="38" s="1"/>
  <c r="C41" i="38"/>
  <c r="C43" i="38" s="1"/>
  <c r="M40" i="38"/>
  <c r="S40" i="38" s="1"/>
  <c r="L40" i="38"/>
  <c r="R40" i="38" s="1"/>
  <c r="K40" i="38"/>
  <c r="Q40" i="38" s="1"/>
  <c r="M39" i="38"/>
  <c r="S39" i="38" s="1"/>
  <c r="L39" i="38"/>
  <c r="R39" i="38" s="1"/>
  <c r="K39" i="38"/>
  <c r="Q39" i="38" s="1"/>
  <c r="M38" i="38"/>
  <c r="S38" i="38" s="1"/>
  <c r="L38" i="38"/>
  <c r="R38" i="38" s="1"/>
  <c r="K38" i="38"/>
  <c r="Q38" i="38" s="1"/>
  <c r="M37" i="38"/>
  <c r="S37" i="38" s="1"/>
  <c r="R37" i="38"/>
  <c r="K37" i="38"/>
  <c r="Q37" i="38" s="1"/>
  <c r="J43" i="38" l="1"/>
  <c r="P43" i="37"/>
  <c r="O43" i="37"/>
  <c r="N43" i="37"/>
  <c r="I43" i="37"/>
  <c r="G43" i="37"/>
  <c r="D43" i="37"/>
  <c r="C43" i="37"/>
  <c r="M42" i="37"/>
  <c r="L42" i="37"/>
  <c r="K42" i="37"/>
  <c r="J41" i="37"/>
  <c r="J43" i="37" s="1"/>
  <c r="H41" i="37"/>
  <c r="H43" i="37" s="1"/>
  <c r="G41" i="37"/>
  <c r="M41" i="37" s="1"/>
  <c r="M43" i="37" s="1"/>
  <c r="S43" i="37" s="1"/>
  <c r="F41" i="37"/>
  <c r="L41" i="37" s="1"/>
  <c r="L43" i="37" s="1"/>
  <c r="R43" i="37" s="1"/>
  <c r="E41" i="37"/>
  <c r="E43" i="37" s="1"/>
  <c r="M40" i="37"/>
  <c r="S40" i="37" s="1"/>
  <c r="L40" i="37"/>
  <c r="R40" i="37" s="1"/>
  <c r="K40" i="37"/>
  <c r="Q40" i="37" s="1"/>
  <c r="M39" i="37"/>
  <c r="S39" i="37" s="1"/>
  <c r="L39" i="37"/>
  <c r="R39" i="37" s="1"/>
  <c r="K39" i="37"/>
  <c r="Q39" i="37" s="1"/>
  <c r="M38" i="37"/>
  <c r="S38" i="37" s="1"/>
  <c r="L38" i="37"/>
  <c r="R38" i="37" s="1"/>
  <c r="K38" i="37"/>
  <c r="Q38" i="37" s="1"/>
  <c r="M37" i="37"/>
  <c r="S37" i="37" s="1"/>
  <c r="L37" i="37"/>
  <c r="R37" i="37" s="1"/>
  <c r="K37" i="37"/>
  <c r="Q37" i="37" s="1"/>
  <c r="F43" i="37" l="1"/>
  <c r="K41" i="37"/>
  <c r="K43" i="37" s="1"/>
  <c r="Q43" i="37" s="1"/>
  <c r="P40" i="36"/>
  <c r="O40" i="36"/>
  <c r="N40" i="36"/>
  <c r="D40" i="36"/>
  <c r="C40" i="36"/>
  <c r="M39" i="36"/>
  <c r="M40" i="36" s="1"/>
  <c r="S40" i="36" s="1"/>
  <c r="L39" i="36"/>
  <c r="L40" i="36" s="1"/>
  <c r="R40" i="36" s="1"/>
  <c r="K39" i="36"/>
  <c r="K40" i="36" s="1"/>
  <c r="Q40" i="36" s="1"/>
  <c r="J38" i="36"/>
  <c r="J40" i="36" s="1"/>
  <c r="I38" i="36"/>
  <c r="I40" i="36" s="1"/>
  <c r="H38" i="36"/>
  <c r="H40" i="36" s="1"/>
  <c r="G38" i="36"/>
  <c r="F38" i="36"/>
  <c r="E38" i="36"/>
  <c r="K38" i="36" s="1"/>
  <c r="M37" i="36"/>
  <c r="S37" i="36" s="1"/>
  <c r="L37" i="36"/>
  <c r="R37" i="36" s="1"/>
  <c r="K37" i="36"/>
  <c r="Q37" i="36" s="1"/>
  <c r="L38" i="36" l="1"/>
  <c r="M38" i="36"/>
  <c r="G40" i="36"/>
  <c r="E40" i="36"/>
  <c r="F40" i="36"/>
  <c r="P43" i="35"/>
  <c r="O43" i="35"/>
  <c r="N43" i="35"/>
  <c r="H43" i="35"/>
  <c r="G43" i="35"/>
  <c r="D43" i="35"/>
  <c r="C43" i="35"/>
  <c r="M42" i="35"/>
  <c r="L42" i="35"/>
  <c r="K42" i="35"/>
  <c r="K41" i="35"/>
  <c r="K43" i="35" s="1"/>
  <c r="Q43" i="35" s="1"/>
  <c r="J41" i="35"/>
  <c r="J43" i="35" s="1"/>
  <c r="I41" i="35"/>
  <c r="I43" i="35" s="1"/>
  <c r="H41" i="35"/>
  <c r="G41" i="35"/>
  <c r="F41" i="35"/>
  <c r="F43" i="35" s="1"/>
  <c r="E41" i="35"/>
  <c r="E43" i="35" s="1"/>
  <c r="M40" i="35"/>
  <c r="S40" i="35" s="1"/>
  <c r="L40" i="35"/>
  <c r="R40" i="35" s="1"/>
  <c r="K40" i="35"/>
  <c r="Q40" i="35" s="1"/>
  <c r="M39" i="35"/>
  <c r="S39" i="35" s="1"/>
  <c r="L39" i="35"/>
  <c r="R39" i="35" s="1"/>
  <c r="K39" i="35"/>
  <c r="Q39" i="35" s="1"/>
  <c r="M38" i="35"/>
  <c r="S38" i="35" s="1"/>
  <c r="L38" i="35"/>
  <c r="R38" i="35" s="1"/>
  <c r="K38" i="35"/>
  <c r="Q38" i="35" s="1"/>
  <c r="M37" i="35"/>
  <c r="S37" i="35" s="1"/>
  <c r="L37" i="35"/>
  <c r="R37" i="35" s="1"/>
  <c r="K37" i="35"/>
  <c r="Q37" i="35" s="1"/>
  <c r="L41" i="35" l="1"/>
  <c r="L43" i="35" s="1"/>
  <c r="R43" i="35" s="1"/>
  <c r="M41" i="35"/>
  <c r="M43" i="35" s="1"/>
  <c r="S43" i="35" s="1"/>
  <c r="P41" i="34"/>
  <c r="O41" i="34"/>
  <c r="N41" i="34"/>
  <c r="D41" i="34"/>
  <c r="C41" i="34"/>
  <c r="M40" i="34"/>
  <c r="L40" i="34"/>
  <c r="K40" i="34"/>
  <c r="J39" i="34"/>
  <c r="J41" i="34" s="1"/>
  <c r="I39" i="34"/>
  <c r="I41" i="34" s="1"/>
  <c r="H39" i="34"/>
  <c r="H41" i="34" s="1"/>
  <c r="G39" i="34"/>
  <c r="G41" i="34" s="1"/>
  <c r="F39" i="34"/>
  <c r="F41" i="34" s="1"/>
  <c r="E39" i="34"/>
  <c r="E41" i="34" s="1"/>
  <c r="M38" i="34"/>
  <c r="S38" i="34" s="1"/>
  <c r="L38" i="34"/>
  <c r="R38" i="34" s="1"/>
  <c r="K38" i="34"/>
  <c r="Q38" i="34" s="1"/>
  <c r="M37" i="34"/>
  <c r="S37" i="34" s="1"/>
  <c r="L37" i="34"/>
  <c r="R37" i="34" s="1"/>
  <c r="K37" i="34"/>
  <c r="Q37" i="34" s="1"/>
  <c r="K39" i="34" l="1"/>
  <c r="K41" i="34" s="1"/>
  <c r="Q41" i="34" s="1"/>
  <c r="L39" i="34"/>
  <c r="L41" i="34" s="1"/>
  <c r="R41" i="34" s="1"/>
  <c r="M39" i="34"/>
  <c r="M41" i="34" s="1"/>
  <c r="S41" i="34" s="1"/>
  <c r="P47" i="31"/>
  <c r="O47" i="31"/>
  <c r="N47" i="31"/>
  <c r="H47" i="31"/>
  <c r="G47" i="31"/>
  <c r="F47" i="31"/>
  <c r="E47" i="31"/>
  <c r="D47" i="31"/>
  <c r="D46" i="31"/>
  <c r="C46" i="31"/>
  <c r="M46" i="31" s="1"/>
  <c r="J45" i="31"/>
  <c r="J47" i="31" s="1"/>
  <c r="I45" i="31"/>
  <c r="I47" i="31" s="1"/>
  <c r="H45" i="31"/>
  <c r="G45" i="31"/>
  <c r="F45" i="31"/>
  <c r="E45" i="31"/>
  <c r="D45" i="31"/>
  <c r="M44" i="31"/>
  <c r="S44" i="31" s="1"/>
  <c r="L44" i="31"/>
  <c r="R44" i="31" s="1"/>
  <c r="K44" i="31"/>
  <c r="Q44" i="31" s="1"/>
  <c r="M43" i="31"/>
  <c r="S43" i="31" s="1"/>
  <c r="L43" i="31"/>
  <c r="R43" i="31" s="1"/>
  <c r="K43" i="31"/>
  <c r="Q43" i="31" s="1"/>
  <c r="M42" i="31"/>
  <c r="L42" i="31"/>
  <c r="K42" i="31"/>
  <c r="M41" i="31"/>
  <c r="S41" i="31" s="1"/>
  <c r="M40" i="31"/>
  <c r="L40" i="31"/>
  <c r="K40" i="31"/>
  <c r="C45" i="31" l="1"/>
  <c r="M45" i="31" s="1"/>
  <c r="M47" i="31" s="1"/>
  <c r="S47" i="31" s="1"/>
  <c r="C47" i="31"/>
  <c r="K39" i="31"/>
  <c r="Q39" i="31" s="1"/>
  <c r="L39" i="31"/>
  <c r="R39" i="31" s="1"/>
  <c r="M39" i="31"/>
  <c r="S39" i="31" s="1"/>
  <c r="K46" i="31"/>
  <c r="L46" i="31"/>
  <c r="K41" i="31"/>
  <c r="Q41" i="31" s="1"/>
  <c r="L41" i="31"/>
  <c r="R41" i="31" s="1"/>
  <c r="K45" i="31" l="1"/>
  <c r="L45" i="31"/>
  <c r="K47" i="31"/>
  <c r="Q47" i="31" s="1"/>
  <c r="L47" i="31"/>
  <c r="R47" i="31" s="1"/>
  <c r="P46" i="30"/>
  <c r="O46" i="30"/>
  <c r="N46" i="30"/>
  <c r="D46" i="30"/>
  <c r="C46" i="30"/>
  <c r="D45" i="30"/>
  <c r="C45" i="30"/>
  <c r="M45" i="30" s="1"/>
  <c r="J44" i="30"/>
  <c r="J46" i="30" s="1"/>
  <c r="I44" i="30"/>
  <c r="I46" i="30" s="1"/>
  <c r="H44" i="30"/>
  <c r="H46" i="30" s="1"/>
  <c r="G44" i="30"/>
  <c r="F44" i="30"/>
  <c r="E44" i="30"/>
  <c r="M36" i="30"/>
  <c r="S36" i="30" s="1"/>
  <c r="L36" i="30"/>
  <c r="R36" i="30" s="1"/>
  <c r="L45" i="30" l="1"/>
  <c r="K45" i="30"/>
  <c r="K44" i="30"/>
  <c r="L44" i="30"/>
  <c r="L46" i="30" s="1"/>
  <c r="R46" i="30" s="1"/>
  <c r="M44" i="30"/>
  <c r="M46" i="30" s="1"/>
  <c r="S46" i="30" s="1"/>
  <c r="E46" i="30"/>
  <c r="F46" i="30"/>
  <c r="G46" i="30"/>
  <c r="K46" i="30"/>
  <c r="Q46" i="30" s="1"/>
  <c r="P40" i="28" l="1"/>
  <c r="O40" i="28"/>
  <c r="N40" i="28"/>
  <c r="D40" i="28"/>
  <c r="C40" i="28"/>
  <c r="M39" i="28"/>
  <c r="L39" i="28"/>
  <c r="K39" i="28"/>
  <c r="J38" i="28"/>
  <c r="J40" i="28" s="1"/>
  <c r="I38" i="28"/>
  <c r="I40" i="28" s="1"/>
  <c r="H38" i="28"/>
  <c r="H40" i="28" s="1"/>
  <c r="G38" i="28"/>
  <c r="M38" i="28" s="1"/>
  <c r="M40" i="28" s="1"/>
  <c r="S40" i="28" s="1"/>
  <c r="F38" i="28"/>
  <c r="F40" i="28" s="1"/>
  <c r="E38" i="28"/>
  <c r="E40" i="28" s="1"/>
  <c r="M37" i="28"/>
  <c r="S37" i="28" s="1"/>
  <c r="L37" i="28"/>
  <c r="R37" i="28" s="1"/>
  <c r="K37" i="28"/>
  <c r="Q37" i="28" s="1"/>
  <c r="P44" i="29"/>
  <c r="O44" i="29"/>
  <c r="N44" i="29"/>
  <c r="J44" i="29"/>
  <c r="I44" i="29"/>
  <c r="H44" i="29"/>
  <c r="D44" i="29"/>
  <c r="C44" i="29"/>
  <c r="M43" i="29"/>
  <c r="L43" i="29"/>
  <c r="K43" i="29"/>
  <c r="J42" i="29"/>
  <c r="I42" i="29"/>
  <c r="H42" i="29"/>
  <c r="M41" i="29"/>
  <c r="S41" i="29" s="1"/>
  <c r="L41" i="29"/>
  <c r="R41" i="29" s="1"/>
  <c r="K41" i="29"/>
  <c r="Q41" i="29" s="1"/>
  <c r="M40" i="29"/>
  <c r="S40" i="29" s="1"/>
  <c r="L40" i="29"/>
  <c r="R40" i="29" s="1"/>
  <c r="K40" i="29"/>
  <c r="Q40" i="29" s="1"/>
  <c r="M39" i="29"/>
  <c r="S39" i="29" s="1"/>
  <c r="L39" i="29"/>
  <c r="R39" i="29" s="1"/>
  <c r="K39" i="29"/>
  <c r="Q39" i="29" s="1"/>
  <c r="R38" i="29"/>
  <c r="P44" i="27"/>
  <c r="O44" i="27"/>
  <c r="N44" i="27"/>
  <c r="F44" i="27"/>
  <c r="E44" i="27"/>
  <c r="D44" i="27"/>
  <c r="C44" i="27"/>
  <c r="M43" i="27"/>
  <c r="L43" i="27"/>
  <c r="K43" i="27"/>
  <c r="J42" i="27"/>
  <c r="J44" i="27" s="1"/>
  <c r="I42" i="27"/>
  <c r="H42" i="27"/>
  <c r="H44" i="27" s="1"/>
  <c r="G42" i="27"/>
  <c r="G44" i="27" s="1"/>
  <c r="F42" i="27"/>
  <c r="E42" i="27"/>
  <c r="M41" i="27"/>
  <c r="S41" i="27" s="1"/>
  <c r="L41" i="27"/>
  <c r="R41" i="27" s="1"/>
  <c r="K41" i="27"/>
  <c r="Q41" i="27" s="1"/>
  <c r="M40" i="27"/>
  <c r="S40" i="27" s="1"/>
  <c r="L40" i="27"/>
  <c r="R40" i="27" s="1"/>
  <c r="K40" i="27"/>
  <c r="Q40" i="27" s="1"/>
  <c r="M39" i="27"/>
  <c r="S39" i="27" s="1"/>
  <c r="L39" i="27"/>
  <c r="R39" i="27" s="1"/>
  <c r="K39" i="27"/>
  <c r="Q39" i="27" s="1"/>
  <c r="M38" i="27"/>
  <c r="S38" i="27" s="1"/>
  <c r="L38" i="27"/>
  <c r="R38" i="27" s="1"/>
  <c r="Q38" i="27"/>
  <c r="L42" i="27" l="1"/>
  <c r="L44" i="27" s="1"/>
  <c r="R44" i="27" s="1"/>
  <c r="L38" i="28"/>
  <c r="L40" i="28" s="1"/>
  <c r="R40" i="28" s="1"/>
  <c r="G40" i="28"/>
  <c r="K38" i="28"/>
  <c r="K40" i="28" s="1"/>
  <c r="Q40" i="28" s="1"/>
  <c r="K42" i="29"/>
  <c r="K44" i="29" s="1"/>
  <c r="Q44" i="29" s="1"/>
  <c r="E44" i="29"/>
  <c r="G44" i="29"/>
  <c r="M42" i="29"/>
  <c r="M44" i="29" s="1"/>
  <c r="S44" i="29" s="1"/>
  <c r="Q38" i="29"/>
  <c r="S38" i="29"/>
  <c r="K42" i="27"/>
  <c r="K44" i="27" s="1"/>
  <c r="Q44" i="27" s="1"/>
  <c r="M42" i="27"/>
  <c r="M44" i="27" s="1"/>
  <c r="S44" i="27" s="1"/>
  <c r="I44" i="27"/>
  <c r="L42" i="29" l="1"/>
  <c r="L44" i="29" s="1"/>
  <c r="R44" i="29" s="1"/>
  <c r="F44" i="29"/>
  <c r="P42" i="25" l="1"/>
  <c r="O42" i="25"/>
  <c r="N42" i="25"/>
  <c r="D42" i="25"/>
  <c r="C42" i="25"/>
  <c r="M41" i="25"/>
  <c r="L41" i="25"/>
  <c r="K41" i="25"/>
  <c r="G40" i="25"/>
  <c r="G42" i="25" s="1"/>
  <c r="F40" i="25"/>
  <c r="F42" i="25" s="1"/>
  <c r="E40" i="25"/>
  <c r="E42" i="25" s="1"/>
  <c r="C40" i="25"/>
  <c r="M39" i="25"/>
  <c r="S39" i="25" s="1"/>
  <c r="K39" i="25"/>
  <c r="Q39" i="25" s="1"/>
  <c r="I39" i="25"/>
  <c r="L39" i="25" s="1"/>
  <c r="R39" i="25" s="1"/>
  <c r="J38" i="25"/>
  <c r="M38" i="25" s="1"/>
  <c r="I38" i="25"/>
  <c r="L38" i="25" s="1"/>
  <c r="H38" i="25"/>
  <c r="K38" i="25" s="1"/>
  <c r="Q38" i="25" s="1"/>
  <c r="J37" i="25"/>
  <c r="M37" i="25" s="1"/>
  <c r="S37" i="25" s="1"/>
  <c r="I37" i="25"/>
  <c r="L37" i="25" s="1"/>
  <c r="R37" i="25" s="1"/>
  <c r="H37" i="25"/>
  <c r="K37" i="25" s="1"/>
  <c r="Q37" i="25" s="1"/>
  <c r="J36" i="25"/>
  <c r="I36" i="25"/>
  <c r="H36" i="25"/>
  <c r="J35" i="25"/>
  <c r="M35" i="25" s="1"/>
  <c r="S35" i="25" s="1"/>
  <c r="I35" i="25"/>
  <c r="L35" i="25" s="1"/>
  <c r="R35" i="25" s="1"/>
  <c r="K35" i="25"/>
  <c r="Q35" i="25" s="1"/>
  <c r="K26" i="25"/>
  <c r="P44" i="24"/>
  <c r="O44" i="24"/>
  <c r="N44" i="24"/>
  <c r="G44" i="24"/>
  <c r="F44" i="24"/>
  <c r="E44" i="24"/>
  <c r="C44" i="24"/>
  <c r="M43" i="24"/>
  <c r="L43" i="24"/>
  <c r="K43" i="24"/>
  <c r="G42" i="24"/>
  <c r="F42" i="24"/>
  <c r="E42" i="24"/>
  <c r="J41" i="24"/>
  <c r="M41" i="24" s="1"/>
  <c r="S41" i="24" s="1"/>
  <c r="I41" i="24"/>
  <c r="L41" i="24" s="1"/>
  <c r="R41" i="24" s="1"/>
  <c r="H41" i="24"/>
  <c r="K41" i="24" s="1"/>
  <c r="Q41" i="24" s="1"/>
  <c r="J40" i="24"/>
  <c r="M40" i="24" s="1"/>
  <c r="S40" i="24" s="1"/>
  <c r="I40" i="24"/>
  <c r="L40" i="24" s="1"/>
  <c r="R40" i="24" s="1"/>
  <c r="H40" i="24"/>
  <c r="K40" i="24" s="1"/>
  <c r="Q40" i="24" s="1"/>
  <c r="J39" i="24"/>
  <c r="M39" i="24" s="1"/>
  <c r="S39" i="24" s="1"/>
  <c r="I39" i="24"/>
  <c r="L39" i="24" s="1"/>
  <c r="R39" i="24" s="1"/>
  <c r="H39" i="24"/>
  <c r="K39" i="24" s="1"/>
  <c r="Q39" i="24" s="1"/>
  <c r="J38" i="24"/>
  <c r="M38" i="24" s="1"/>
  <c r="S38" i="24" s="1"/>
  <c r="I38" i="24"/>
  <c r="L38" i="24" s="1"/>
  <c r="R38" i="24" s="1"/>
  <c r="H38" i="24"/>
  <c r="K38" i="24" s="1"/>
  <c r="Q38" i="24" s="1"/>
  <c r="P60" i="23"/>
  <c r="O60" i="23"/>
  <c r="N60" i="23"/>
  <c r="M59" i="23"/>
  <c r="L59" i="23"/>
  <c r="K59" i="23"/>
  <c r="J58" i="23"/>
  <c r="J60" i="23" s="1"/>
  <c r="I58" i="23"/>
  <c r="G58" i="23"/>
  <c r="F58" i="23"/>
  <c r="E58" i="23"/>
  <c r="C58" i="23"/>
  <c r="M58" i="23" s="1"/>
  <c r="M60" i="23" s="1"/>
  <c r="S60" i="23" s="1"/>
  <c r="M57" i="23"/>
  <c r="S57" i="23" s="1"/>
  <c r="L57" i="23"/>
  <c r="R57" i="23" s="1"/>
  <c r="K57" i="23"/>
  <c r="Q57" i="23" s="1"/>
  <c r="M56" i="23"/>
  <c r="S56" i="23" s="1"/>
  <c r="L56" i="23"/>
  <c r="R56" i="23" s="1"/>
  <c r="K56" i="23"/>
  <c r="Q56" i="23" s="1"/>
  <c r="M55" i="23"/>
  <c r="S55" i="23" s="1"/>
  <c r="L55" i="23"/>
  <c r="R55" i="23" s="1"/>
  <c r="K55" i="23"/>
  <c r="Q55" i="23" s="1"/>
  <c r="M54" i="23"/>
  <c r="S54" i="23" s="1"/>
  <c r="L54" i="23"/>
  <c r="R54" i="23" s="1"/>
  <c r="K54" i="23"/>
  <c r="Q54" i="23" s="1"/>
  <c r="M53" i="23"/>
  <c r="S53" i="23" s="1"/>
  <c r="L53" i="23"/>
  <c r="R53" i="23" s="1"/>
  <c r="K53" i="23"/>
  <c r="Q53" i="23" s="1"/>
  <c r="M52" i="23"/>
  <c r="S52" i="23" s="1"/>
  <c r="L52" i="23"/>
  <c r="R52" i="23" s="1"/>
  <c r="K52" i="23"/>
  <c r="Q52" i="23" s="1"/>
  <c r="M51" i="23"/>
  <c r="S51" i="23" s="1"/>
  <c r="L51" i="23"/>
  <c r="R51" i="23" s="1"/>
  <c r="K51" i="23"/>
  <c r="Q51" i="23" s="1"/>
  <c r="M50" i="23"/>
  <c r="S50" i="23" s="1"/>
  <c r="L50" i="23"/>
  <c r="R50" i="23" s="1"/>
  <c r="K50" i="23"/>
  <c r="Q50" i="23" s="1"/>
  <c r="S49" i="23"/>
  <c r="M49" i="23"/>
  <c r="I49" i="23"/>
  <c r="H49" i="23"/>
  <c r="M48" i="23"/>
  <c r="S48" i="23" s="1"/>
  <c r="L48" i="23"/>
  <c r="R48" i="23" s="1"/>
  <c r="K48" i="23"/>
  <c r="Q48" i="23" s="1"/>
  <c r="M47" i="23"/>
  <c r="S47" i="23" s="1"/>
  <c r="L47" i="23"/>
  <c r="R47" i="23" s="1"/>
  <c r="K47" i="23"/>
  <c r="Q47" i="23" s="1"/>
  <c r="S46" i="23"/>
  <c r="R46" i="23"/>
  <c r="M46" i="23"/>
  <c r="L46" i="23"/>
  <c r="K46" i="23"/>
  <c r="Q46" i="23" s="1"/>
  <c r="M45" i="23"/>
  <c r="S45" i="23" s="1"/>
  <c r="L45" i="23"/>
  <c r="R45" i="23" s="1"/>
  <c r="K45" i="23"/>
  <c r="Q45" i="23" s="1"/>
  <c r="M44" i="23"/>
  <c r="S44" i="23" s="1"/>
  <c r="L44" i="23"/>
  <c r="R44" i="23" s="1"/>
  <c r="K44" i="23"/>
  <c r="Q44" i="23" s="1"/>
  <c r="R43" i="23"/>
  <c r="Q43" i="23"/>
  <c r="M43" i="23"/>
  <c r="S43" i="23" s="1"/>
  <c r="L43" i="23"/>
  <c r="K43" i="23"/>
  <c r="K49" i="23" l="1"/>
  <c r="Q49" i="23" s="1"/>
  <c r="H60" i="23"/>
  <c r="L49" i="23"/>
  <c r="R49" i="23" s="1"/>
  <c r="I60" i="23"/>
  <c r="I40" i="25"/>
  <c r="J40" i="25"/>
  <c r="H40" i="25"/>
  <c r="H42" i="25" s="1"/>
  <c r="J42" i="25"/>
  <c r="M40" i="25"/>
  <c r="M42" i="25" s="1"/>
  <c r="S42" i="25" s="1"/>
  <c r="L40" i="25"/>
  <c r="L42" i="25" s="1"/>
  <c r="R42" i="25" s="1"/>
  <c r="I42" i="25"/>
  <c r="K36" i="25"/>
  <c r="Q36" i="25" s="1"/>
  <c r="L36" i="25"/>
  <c r="R36" i="25" s="1"/>
  <c r="M36" i="25"/>
  <c r="S36" i="25" s="1"/>
  <c r="J42" i="24"/>
  <c r="J44" i="24" s="1"/>
  <c r="H42" i="24"/>
  <c r="H44" i="24" s="1"/>
  <c r="I42" i="24"/>
  <c r="I44" i="24" s="1"/>
  <c r="K42" i="24"/>
  <c r="K44" i="24" s="1"/>
  <c r="Q44" i="24" s="1"/>
  <c r="H58" i="23"/>
  <c r="K58" i="23"/>
  <c r="K60" i="23" s="1"/>
  <c r="Q60" i="23" s="1"/>
  <c r="L58" i="23"/>
  <c r="L60" i="23" s="1"/>
  <c r="R60" i="23" s="1"/>
  <c r="L42" i="24" l="1"/>
  <c r="L44" i="24" s="1"/>
  <c r="R44" i="24" s="1"/>
  <c r="K40" i="25"/>
  <c r="K42" i="25" s="1"/>
  <c r="Q42" i="25" s="1"/>
  <c r="M42" i="24"/>
  <c r="M44" i="24" s="1"/>
  <c r="S44" i="24" s="1"/>
  <c r="P48" i="22" l="1"/>
  <c r="O48" i="22"/>
  <c r="N48" i="22"/>
  <c r="I48" i="22"/>
  <c r="H48" i="22"/>
  <c r="D48" i="22"/>
  <c r="C48" i="22"/>
  <c r="M47" i="22"/>
  <c r="L47" i="22"/>
  <c r="K47" i="22"/>
  <c r="J46" i="22"/>
  <c r="J48" i="22" s="1"/>
  <c r="I46" i="22"/>
  <c r="H46" i="22"/>
  <c r="D46" i="22"/>
  <c r="C46" i="22"/>
  <c r="M45" i="22"/>
  <c r="S45" i="22" s="1"/>
  <c r="L45" i="22"/>
  <c r="R45" i="22" s="1"/>
  <c r="K45" i="22"/>
  <c r="Q45" i="22" s="1"/>
  <c r="G44" i="22"/>
  <c r="M44" i="22" s="1"/>
  <c r="S44" i="22" s="1"/>
  <c r="F44" i="22"/>
  <c r="L44" i="22" s="1"/>
  <c r="R44" i="22" s="1"/>
  <c r="E44" i="22"/>
  <c r="K44" i="22" s="1"/>
  <c r="Q44" i="22" s="1"/>
  <c r="G43" i="22"/>
  <c r="M43" i="22" s="1"/>
  <c r="S43" i="22" s="1"/>
  <c r="F43" i="22"/>
  <c r="L43" i="22" s="1"/>
  <c r="R43" i="22" s="1"/>
  <c r="E43" i="22"/>
  <c r="K43" i="22" s="1"/>
  <c r="Q43" i="22" s="1"/>
  <c r="G42" i="22"/>
  <c r="M42" i="22" s="1"/>
  <c r="S42" i="22" s="1"/>
  <c r="F42" i="22"/>
  <c r="L42" i="22" s="1"/>
  <c r="R42" i="22" s="1"/>
  <c r="E42" i="22"/>
  <c r="K42" i="22" s="1"/>
  <c r="Q42" i="22" s="1"/>
  <c r="G41" i="22"/>
  <c r="M41" i="22" s="1"/>
  <c r="S41" i="22" s="1"/>
  <c r="F41" i="22"/>
  <c r="E41" i="22"/>
  <c r="L40" i="22"/>
  <c r="R40" i="22" s="1"/>
  <c r="K40" i="22"/>
  <c r="Q40" i="22" s="1"/>
  <c r="G40" i="22"/>
  <c r="M40" i="22" s="1"/>
  <c r="S40" i="22" s="1"/>
  <c r="F40" i="22"/>
  <c r="E40" i="22"/>
  <c r="M39" i="22"/>
  <c r="S39" i="22" s="1"/>
  <c r="L39" i="22"/>
  <c r="R39" i="22" s="1"/>
  <c r="K39" i="22"/>
  <c r="Q39" i="22" s="1"/>
  <c r="P46" i="21"/>
  <c r="O46" i="21"/>
  <c r="N46" i="21"/>
  <c r="I46" i="21"/>
  <c r="H46" i="21"/>
  <c r="G46" i="21"/>
  <c r="E46" i="21"/>
  <c r="D46" i="21"/>
  <c r="C46" i="21"/>
  <c r="M45" i="21"/>
  <c r="L45" i="21"/>
  <c r="K45" i="21"/>
  <c r="J44" i="21"/>
  <c r="J46" i="21" s="1"/>
  <c r="I44" i="21"/>
  <c r="H44" i="21"/>
  <c r="G44" i="21"/>
  <c r="M44" i="21" s="1"/>
  <c r="M46" i="21" s="1"/>
  <c r="S46" i="21" s="1"/>
  <c r="F44" i="21"/>
  <c r="F46" i="21" s="1"/>
  <c r="E44" i="21"/>
  <c r="D44" i="21"/>
  <c r="M43" i="21"/>
  <c r="S43" i="21" s="1"/>
  <c r="L43" i="21"/>
  <c r="R43" i="21" s="1"/>
  <c r="K43" i="21"/>
  <c r="Q43" i="21" s="1"/>
  <c r="M42" i="21"/>
  <c r="S42" i="21" s="1"/>
  <c r="L42" i="21"/>
  <c r="R42" i="21" s="1"/>
  <c r="K42" i="21"/>
  <c r="Q42" i="21" s="1"/>
  <c r="M41" i="21"/>
  <c r="S41" i="21" s="1"/>
  <c r="L41" i="21"/>
  <c r="R41" i="21" s="1"/>
  <c r="K41" i="21"/>
  <c r="Q41" i="21" s="1"/>
  <c r="M40" i="21"/>
  <c r="S40" i="21" s="1"/>
  <c r="L40" i="21"/>
  <c r="R40" i="21" s="1"/>
  <c r="K40" i="21"/>
  <c r="Q39" i="21"/>
  <c r="M39" i="21"/>
  <c r="S39" i="21" s="1"/>
  <c r="L39" i="21"/>
  <c r="R39" i="21" s="1"/>
  <c r="F46" i="22" l="1"/>
  <c r="F48" i="22" s="1"/>
  <c r="E46" i="22"/>
  <c r="E48" i="22" s="1"/>
  <c r="L41" i="22"/>
  <c r="R41" i="22" s="1"/>
  <c r="G46" i="22"/>
  <c r="G48" i="22" s="1"/>
  <c r="K46" i="22"/>
  <c r="K48" i="22" s="1"/>
  <c r="Q48" i="22" s="1"/>
  <c r="K41" i="22"/>
  <c r="Q41" i="22" s="1"/>
  <c r="L46" i="22"/>
  <c r="L48" i="22" s="1"/>
  <c r="R48" i="22" s="1"/>
  <c r="Q40" i="21"/>
  <c r="K44" i="21"/>
  <c r="K46" i="21" s="1"/>
  <c r="Q46" i="21" s="1"/>
  <c r="L44" i="21"/>
  <c r="L46" i="21" s="1"/>
  <c r="R46" i="21" s="1"/>
  <c r="M46" i="22" l="1"/>
  <c r="M48" i="22" s="1"/>
  <c r="S48" i="22" s="1"/>
  <c r="X8" i="9" l="1"/>
  <c r="W8" i="9"/>
  <c r="V8" i="9"/>
  <c r="D8" i="9"/>
  <c r="C8" i="9"/>
  <c r="P66" i="14" l="1"/>
  <c r="O66" i="14"/>
  <c r="N66" i="14"/>
  <c r="M65" i="14"/>
  <c r="L65" i="14"/>
  <c r="K65" i="14"/>
  <c r="G64" i="14"/>
  <c r="F64" i="14"/>
  <c r="E64" i="14"/>
  <c r="C63" i="14"/>
  <c r="C62" i="14"/>
  <c r="H62" i="14" s="1"/>
  <c r="K62" i="14" s="1"/>
  <c r="C61" i="14"/>
  <c r="H61" i="14" s="1"/>
  <c r="C60" i="14"/>
  <c r="C59" i="14"/>
  <c r="H59" i="14" s="1"/>
  <c r="K59" i="14" s="1"/>
  <c r="J58" i="14"/>
  <c r="M58" i="14" s="1"/>
  <c r="I58" i="14"/>
  <c r="L58" i="14" s="1"/>
  <c r="H58" i="14"/>
  <c r="K58" i="14" s="1"/>
  <c r="C57" i="14"/>
  <c r="J56" i="14"/>
  <c r="M56" i="14" s="1"/>
  <c r="I56" i="14"/>
  <c r="L56" i="14" s="1"/>
  <c r="H56" i="14"/>
  <c r="K56" i="14" s="1"/>
  <c r="J55" i="14"/>
  <c r="M55" i="14" s="1"/>
  <c r="I55" i="14"/>
  <c r="L55" i="14" s="1"/>
  <c r="H55" i="14"/>
  <c r="K55" i="14" s="1"/>
  <c r="J54" i="14"/>
  <c r="M54" i="14" s="1"/>
  <c r="I54" i="14"/>
  <c r="L54" i="14" s="1"/>
  <c r="H54" i="14"/>
  <c r="K54" i="14" s="1"/>
  <c r="J53" i="14"/>
  <c r="M53" i="14" s="1"/>
  <c r="I53" i="14"/>
  <c r="L53" i="14" s="1"/>
  <c r="H53" i="14"/>
  <c r="K53" i="14" s="1"/>
  <c r="J52" i="14"/>
  <c r="M52" i="14" s="1"/>
  <c r="I52" i="14"/>
  <c r="L52" i="14" s="1"/>
  <c r="H52" i="14"/>
  <c r="K52" i="14" s="1"/>
  <c r="J51" i="14"/>
  <c r="M51" i="14" s="1"/>
  <c r="I51" i="14"/>
  <c r="L51" i="14" s="1"/>
  <c r="H51" i="14"/>
  <c r="K51" i="14" s="1"/>
  <c r="J50" i="14"/>
  <c r="I50" i="14"/>
  <c r="H50" i="14"/>
  <c r="K50" i="14" s="1"/>
  <c r="Q50" i="14" s="1"/>
  <c r="J62" i="14" l="1"/>
  <c r="M62" i="14" s="1"/>
  <c r="I62" i="14"/>
  <c r="L62" i="14" s="1"/>
  <c r="I59" i="14"/>
  <c r="L59" i="14" s="1"/>
  <c r="J59" i="14"/>
  <c r="M59" i="14" s="1"/>
  <c r="J60" i="14"/>
  <c r="M60" i="14" s="1"/>
  <c r="J63" i="14"/>
  <c r="M63" i="14" s="1"/>
  <c r="H60" i="14"/>
  <c r="K60" i="14" s="1"/>
  <c r="I63" i="14"/>
  <c r="L63" i="14" s="1"/>
  <c r="C64" i="14"/>
  <c r="J61" i="14"/>
  <c r="M61" i="14" s="1"/>
  <c r="L50" i="14"/>
  <c r="R50" i="14" s="1"/>
  <c r="M50" i="14"/>
  <c r="S50" i="14" s="1"/>
  <c r="I60" i="14"/>
  <c r="L60" i="14" s="1"/>
  <c r="K61" i="14"/>
  <c r="H57" i="14"/>
  <c r="K57" i="14" s="1"/>
  <c r="H63" i="14"/>
  <c r="K63" i="14" s="1"/>
  <c r="J57" i="14"/>
  <c r="M57" i="14" s="1"/>
  <c r="I61" i="14"/>
  <c r="L61" i="14"/>
  <c r="I57" i="14"/>
  <c r="H64" i="14" l="1"/>
  <c r="H66" i="14" s="1"/>
  <c r="I64" i="14"/>
  <c r="I66" i="14" s="1"/>
  <c r="J64" i="14"/>
  <c r="J66" i="14" s="1"/>
  <c r="C66" i="14"/>
  <c r="L57" i="14"/>
  <c r="M64" i="14" l="1"/>
  <c r="M66" i="14" s="1"/>
  <c r="S66" i="14" s="1"/>
  <c r="L64" i="14"/>
  <c r="L66" i="14" s="1"/>
  <c r="R66" i="14" s="1"/>
  <c r="K64" i="14"/>
  <c r="K66" i="14" s="1"/>
  <c r="Q66" i="14" s="1"/>
  <c r="D81" i="1" l="1"/>
  <c r="D82" i="1"/>
  <c r="C82" i="1"/>
  <c r="C81" i="1"/>
  <c r="E78" i="1"/>
  <c r="K78" i="1" s="1"/>
  <c r="Q78" i="1" s="1"/>
  <c r="F78" i="1"/>
  <c r="L78" i="1" s="1"/>
  <c r="R78" i="1" s="1"/>
  <c r="G78" i="1"/>
  <c r="M78" i="1" s="1"/>
  <c r="S78" i="1" s="1"/>
  <c r="E79" i="1"/>
  <c r="F79" i="1"/>
  <c r="L79" i="1" s="1"/>
  <c r="R79" i="1" s="1"/>
  <c r="G79" i="1"/>
  <c r="M79" i="1" s="1"/>
  <c r="S79" i="1" s="1"/>
  <c r="L76" i="1"/>
  <c r="R76" i="1" s="1"/>
  <c r="E76" i="1"/>
  <c r="K76" i="1" s="1"/>
  <c r="Q76" i="1" s="1"/>
  <c r="F76" i="1"/>
  <c r="G76" i="1"/>
  <c r="M76" i="1" s="1"/>
  <c r="S76" i="1" s="1"/>
  <c r="E77" i="1"/>
  <c r="K77" i="1" s="1"/>
  <c r="Q77" i="1" s="1"/>
  <c r="F77" i="1"/>
  <c r="L77" i="1" s="1"/>
  <c r="R77" i="1" s="1"/>
  <c r="G77" i="1"/>
  <c r="M77" i="1" s="1"/>
  <c r="S77" i="1" s="1"/>
  <c r="G75" i="1"/>
  <c r="F75" i="1"/>
  <c r="L75" i="1" s="1"/>
  <c r="R75" i="1" s="1"/>
  <c r="E75" i="1"/>
  <c r="K75" i="1" s="1"/>
  <c r="Q75" i="1" s="1"/>
  <c r="M75" i="1"/>
  <c r="S75" i="1" s="1"/>
  <c r="K79" i="1"/>
  <c r="Q79" i="1" s="1"/>
  <c r="K80" i="1"/>
  <c r="Q80" i="1" s="1"/>
  <c r="L80" i="1"/>
  <c r="R80" i="1" s="1"/>
  <c r="M80" i="1"/>
  <c r="S80" i="1" s="1"/>
  <c r="F39" i="1"/>
  <c r="J74" i="1" s="1"/>
  <c r="E73" i="1"/>
  <c r="K73" i="1" s="1"/>
  <c r="F73" i="1"/>
  <c r="L73" i="1" s="1"/>
  <c r="G73" i="1"/>
  <c r="M73" i="1" s="1"/>
  <c r="F72" i="1"/>
  <c r="L72" i="1" s="1"/>
  <c r="R72" i="1" s="1"/>
  <c r="G72" i="1"/>
  <c r="M72" i="1" s="1"/>
  <c r="S72" i="1" s="1"/>
  <c r="E72" i="1"/>
  <c r="K72" i="1" s="1"/>
  <c r="Q72" i="1" s="1"/>
  <c r="E71" i="1"/>
  <c r="K71" i="1" s="1"/>
  <c r="Q71" i="1" s="1"/>
  <c r="F71" i="1"/>
  <c r="L71" i="1" s="1"/>
  <c r="R71" i="1" s="1"/>
  <c r="G71" i="1"/>
  <c r="M71" i="1" s="1"/>
  <c r="S71" i="1" s="1"/>
  <c r="E70" i="1"/>
  <c r="K70" i="1" s="1"/>
  <c r="Q70" i="1" s="1"/>
  <c r="F70" i="1"/>
  <c r="L70" i="1" s="1"/>
  <c r="R70" i="1" s="1"/>
  <c r="G70" i="1"/>
  <c r="M70" i="1" s="1"/>
  <c r="S70" i="1" s="1"/>
  <c r="E69" i="1"/>
  <c r="K69" i="1" s="1"/>
  <c r="Q69" i="1" s="1"/>
  <c r="F69" i="1"/>
  <c r="L69" i="1" s="1"/>
  <c r="R69" i="1" s="1"/>
  <c r="G69" i="1"/>
  <c r="M69" i="1" s="1"/>
  <c r="S69" i="1" s="1"/>
  <c r="G68" i="1"/>
  <c r="M68" i="1" s="1"/>
  <c r="S68" i="1" s="1"/>
  <c r="F68" i="1"/>
  <c r="L68" i="1" s="1"/>
  <c r="R68" i="1" s="1"/>
  <c r="E68" i="1"/>
  <c r="K68" i="1" s="1"/>
  <c r="Q68" i="1" s="1"/>
  <c r="G67" i="1"/>
  <c r="M67" i="1" s="1"/>
  <c r="S67" i="1" s="1"/>
  <c r="F67" i="1"/>
  <c r="L67" i="1" s="1"/>
  <c r="R67" i="1" s="1"/>
  <c r="E67" i="1"/>
  <c r="K67" i="1" s="1"/>
  <c r="Q67" i="1" s="1"/>
  <c r="G66" i="1"/>
  <c r="M66" i="1" s="1"/>
  <c r="S66" i="1" s="1"/>
  <c r="F66" i="1"/>
  <c r="L66" i="1" s="1"/>
  <c r="R66" i="1" s="1"/>
  <c r="E66" i="1"/>
  <c r="K66" i="1" s="1"/>
  <c r="Q66" i="1" s="1"/>
  <c r="J65" i="1"/>
  <c r="I65" i="1"/>
  <c r="G65" i="1"/>
  <c r="F65" i="1"/>
  <c r="H65" i="1"/>
  <c r="E65" i="1"/>
  <c r="J64" i="1"/>
  <c r="I64" i="1"/>
  <c r="H64" i="1"/>
  <c r="G64" i="1"/>
  <c r="F64" i="1"/>
  <c r="E64" i="1"/>
  <c r="G63" i="1"/>
  <c r="M63" i="1" s="1"/>
  <c r="S63" i="1" s="1"/>
  <c r="F63" i="1"/>
  <c r="L63" i="1" s="1"/>
  <c r="R63" i="1" s="1"/>
  <c r="E63" i="1"/>
  <c r="K63" i="1" s="1"/>
  <c r="Q63" i="1" s="1"/>
  <c r="J62" i="1"/>
  <c r="I62" i="1"/>
  <c r="H62" i="1"/>
  <c r="G62" i="1"/>
  <c r="F62" i="1"/>
  <c r="E62" i="1"/>
  <c r="J61" i="1"/>
  <c r="H61" i="1"/>
  <c r="I61" i="1"/>
  <c r="G61" i="1"/>
  <c r="F61" i="1"/>
  <c r="E61" i="1"/>
  <c r="K61" i="1" s="1"/>
  <c r="Q61" i="1" s="1"/>
  <c r="E60" i="1"/>
  <c r="G60" i="1"/>
  <c r="F60" i="1"/>
  <c r="J60" i="1"/>
  <c r="I60" i="1"/>
  <c r="H60" i="1"/>
  <c r="K60" i="1" l="1"/>
  <c r="G74" i="1"/>
  <c r="M74" i="1" s="1"/>
  <c r="H74" i="1"/>
  <c r="E74" i="1"/>
  <c r="K74" i="1" s="1"/>
  <c r="I74" i="1"/>
  <c r="F74" i="1"/>
  <c r="K64" i="1"/>
  <c r="Q64" i="1" s="1"/>
  <c r="L64" i="1"/>
  <c r="R64" i="1" s="1"/>
  <c r="L65" i="1"/>
  <c r="R65" i="1" s="1"/>
  <c r="L61" i="1"/>
  <c r="R61" i="1" s="1"/>
  <c r="M64" i="1"/>
  <c r="S64" i="1" s="1"/>
  <c r="M65" i="1"/>
  <c r="S65" i="1" s="1"/>
  <c r="K65" i="1"/>
  <c r="Q65" i="1" s="1"/>
  <c r="L62" i="1"/>
  <c r="R62" i="1" s="1"/>
  <c r="M62" i="1"/>
  <c r="S62" i="1" s="1"/>
  <c r="K62" i="1"/>
  <c r="Q62" i="1" s="1"/>
  <c r="M61" i="1"/>
  <c r="S61" i="1" s="1"/>
  <c r="L74" i="1" l="1"/>
  <c r="P21" i="1" l="1"/>
  <c r="W9" i="9" l="1"/>
  <c r="V9" i="9"/>
  <c r="D9" i="9"/>
  <c r="C9" i="9"/>
  <c r="C10" i="9" s="1"/>
  <c r="B9" i="9"/>
  <c r="A9" i="9"/>
  <c r="X9" i="9" l="1"/>
  <c r="O83" i="1"/>
  <c r="Q9" i="9" s="1"/>
  <c r="Q60" i="9" s="1"/>
  <c r="P83" i="1"/>
  <c r="R9" i="9" s="1"/>
  <c r="R60" i="9" s="1"/>
  <c r="N83" i="1"/>
  <c r="P9" i="9" s="1"/>
  <c r="P60" i="9" s="1"/>
  <c r="M82" i="1"/>
  <c r="L82" i="1"/>
  <c r="K82" i="1"/>
  <c r="D83" i="1"/>
  <c r="F9" i="9" s="1"/>
  <c r="F60" i="9" s="1"/>
  <c r="C83" i="1"/>
  <c r="E9" i="9" l="1"/>
  <c r="E60" i="9" s="1"/>
  <c r="J81" i="1"/>
  <c r="J83" i="1" s="1"/>
  <c r="L9" i="9" s="1"/>
  <c r="L60" i="9" s="1"/>
  <c r="I81" i="1"/>
  <c r="I83" i="1" s="1"/>
  <c r="K9" i="9" s="1"/>
  <c r="K60" i="9" s="1"/>
  <c r="H81" i="1"/>
  <c r="G81" i="1"/>
  <c r="F81" i="1"/>
  <c r="E81" i="1"/>
  <c r="E83" i="1" s="1"/>
  <c r="G9" i="9" s="1"/>
  <c r="G60" i="9" s="1"/>
  <c r="S74" i="1"/>
  <c r="R74" i="1"/>
  <c r="Q74" i="1"/>
  <c r="S73" i="1"/>
  <c r="R73" i="1"/>
  <c r="Q73" i="1"/>
  <c r="M60" i="1"/>
  <c r="S60" i="1" s="1"/>
  <c r="L60" i="1"/>
  <c r="R60" i="1" s="1"/>
  <c r="Q60" i="1"/>
  <c r="G83" i="1" l="1"/>
  <c r="I9" i="9" s="1"/>
  <c r="I60" i="9" s="1"/>
  <c r="M81" i="1"/>
  <c r="M83" i="1" s="1"/>
  <c r="H83" i="1"/>
  <c r="J9" i="9" s="1"/>
  <c r="J60" i="9" s="1"/>
  <c r="K81" i="1"/>
  <c r="F83" i="1"/>
  <c r="H9" i="9" s="1"/>
  <c r="H60" i="9" s="1"/>
  <c r="L81" i="1"/>
  <c r="L83" i="1" s="1"/>
  <c r="K83" i="1" l="1"/>
  <c r="Q83" i="1" s="1"/>
  <c r="S9" i="9" s="1"/>
  <c r="S60" i="9" s="1"/>
  <c r="R83" i="1"/>
  <c r="T9" i="9" s="1"/>
  <c r="T60" i="9" s="1"/>
  <c r="N9" i="9"/>
  <c r="N60" i="9" s="1"/>
  <c r="M9" i="9"/>
  <c r="M60" i="9" s="1"/>
  <c r="S83" i="1"/>
  <c r="U9" i="9" s="1"/>
  <c r="U60" i="9" s="1"/>
  <c r="O9" i="9"/>
  <c r="O60" i="9" s="1"/>
  <c r="G19" i="63" l="1"/>
  <c r="D36" i="63"/>
  <c r="C36" i="63"/>
  <c r="I19" i="63"/>
  <c r="I36" i="63"/>
  <c r="I37" i="63" s="1"/>
  <c r="J19" i="63"/>
  <c r="J36" i="63"/>
  <c r="J37" i="63" s="1"/>
  <c r="H19" i="63"/>
  <c r="I39" i="63" l="1"/>
  <c r="L37" i="63"/>
  <c r="L39" i="63" s="1"/>
  <c r="R39" i="63" s="1"/>
  <c r="J39" i="63"/>
  <c r="M37" i="63"/>
  <c r="M39" i="63" s="1"/>
  <c r="S39" i="63" s="1"/>
  <c r="D37" i="63"/>
  <c r="D39" i="63"/>
  <c r="L36" i="63"/>
  <c r="R36" i="63" s="1"/>
  <c r="C39" i="63"/>
  <c r="M36" i="63"/>
  <c r="S36" i="63" s="1"/>
  <c r="K36" i="63"/>
  <c r="Q36" i="63" s="1"/>
</calcChain>
</file>

<file path=xl/sharedStrings.xml><?xml version="1.0" encoding="utf-8"?>
<sst xmlns="http://schemas.openxmlformats.org/spreadsheetml/2006/main" count="5841" uniqueCount="797">
  <si>
    <t>2024թ.</t>
  </si>
  <si>
    <t>2025թ.</t>
  </si>
  <si>
    <t>X</t>
  </si>
  <si>
    <t>2026թ.</t>
  </si>
  <si>
    <t>Հավելված N 1. Գոյություն ունեցող պարտավորությունների գծով ծախսակազմումների ամփոփ ձևաչափի</t>
  </si>
  <si>
    <t>2. Լրացվում է բյուջետային ծրագրի դասիչը և անվանումը</t>
  </si>
  <si>
    <t xml:space="preserve">3. Լրացվում է բյուջետային ծրագրի միջոցառման դասիչը և անվանումը </t>
  </si>
  <si>
    <t>Աղյուսակ 1. Ծախսերի վրա ազդող ծախսային գործոնները</t>
  </si>
  <si>
    <t>6. «Գործոնի տեսակը» սյունակում ներկայացվում են համապատասխան գործոնի տեսակը՝ «գնային գործոն» կամ «ոչ գնային գործոն»:</t>
  </si>
  <si>
    <t>7. «Չափի միավորը» արտահայտում է համապատասխան գործոնի ցուցանիշի չափման միավորը:</t>
  </si>
  <si>
    <t xml:space="preserve">8. «Ստանդարտի (նորմատիվի) առկայությունը» սյունակում լրացվում է «Ոչ» բառը համապատասխան ցուցանիշի հետ կապված ծախսային ստանդարտների (նորմատիվի) բացակայության դեպքում, իսկ դրա առկայության դեպքում կատարվում է հղում այդ ստանդարտը կամ նորմատիվը սահմանող փաստաթղթին: </t>
  </si>
  <si>
    <t>9. «Գործոնի կամ ռեսուրսի սպառման (ծախսման) մակարդակը» սյունակում լրացվում է ծախսային գործոնների կամ դրանց ազդեցությամբ փոփոխված՝ ռեսուրսների սպառման (ծախսման) մակարդակներն արտահայտող ցուցանիշները՝ համապատասխան տարիների համար:</t>
  </si>
  <si>
    <t>10. «Հիմնավորում/պատճառներ» սյունակում լրացվում են գործոնի մակարդակների, ինչպես նաև դրանց ազդեցությամբ համապատասխան ռեսուրսների սպառման մակարդակների փոփոխության պատճառներն ու հիմնավորումները: Ներկայացվում են հիմնավորումներ ծախսերի վրա ազդող գործոնների ընտրության և բյուջետավորվող տարիներից յուրաքանչյուրում նախորդ ժամանակահատվածների համեմատ կանխատեսվող փոփոխությունների վերաբերյալ։ Հիմնավորումները ներկայացնելիս, անհրաժեշտ է ներկայացնել նաև այն ընդհանուր երևույթները/գործոնները/հանգամանքները, որոնք ազդել են համապատասխան գործոնների կանխատեսվող փոփոխությունների վրա (օրինակ պահանջարկի փոփոխություն, իրավական ակտերի ընդունում և այլն): Սպառվող ռեսուսրներից յուրաքանչյուրի համար պետք է ներկայացնել, թե որ գործոնի ազդեցությամբ է փոփոխության ենթարկվել տվյալ ռեսուրսի սպառման (ծախսման) մակարդակը:</t>
  </si>
  <si>
    <t>Աղյուսակ 2. Ծախսերի ամփոփ հաշվարկն (առանց ծախսային խնայողությունների գծով առաջարկների ներառման)</t>
  </si>
  <si>
    <t>11. Աղյուսակում ներկայացվում է միջոցառման գծով գոյություն ուեցող ծախսային պարտավորությունների ճշգրտված հաշվարկը առանց ծախսային խնայողությունների վերաբերյալ առաջարկների ներառման: Ծախսակազմման նպատակով մեկից ավելի ծախսերի օբյեկտների առանձնացման դեպքում յուրաքանչյուր ծախսերի օբյեկտի համար լրացվում է առանձին աղյուսակ:</t>
  </si>
  <si>
    <t xml:space="preserve">12. «Ծախսային տարրերը» սյունակում ներկայացվում է տվյալ միջոցառմանն առնչվող ծախսային տարրերը՝ խմբավորված ըստ բյուջետային ծախսերի տնտեսագիտական դասակարգման հոդվածների: Ընդ որում, ըստ հոդվածների բացված ներկայացվում են միայն այն ծախսերը, որոնց հաշվարկներում հայտատուից անկախ պատճառներով փոփոխություններ են կատարվել բազային տարվա (2020թ) ծախսերի համեմատ: Բազային տարում համապատասխան ծախսերի վերաբերյալ փաստացի ցուցանիշների բացակայության դեպքում որպես համեմատության ելակետ անհրաժեշտ է դիտարկել 2021 թվականի համար հաստատված համապատասխան պլանային ցուցանիշները: </t>
  </si>
  <si>
    <t>13. Լրացվում է ծախսերի փոփոխության հանգեցրած գնային և ոչ գնային գործոնների կամ սպառվող ռեսուրսների անվանումները և չափման միավորները, ինչպես նաև դրանց մակարդակները (գնային գործոնների դեպքում՝ դրամական, իսկ ոչ գնային գործոնների դեպքում բնաիրային արտահայտությամբ) համապատասխան տարիների համար: Մեկից ավելի համապատասխան գործոնների/ռեսուրսների առկայության պարագայում դրանցից յուրաքանչյուրի համար անհրաժեշտ է աղյուսակում ավելացնել նոր սյունակներ: Ընդ որում, անհրաժեշտության դեպքում, բացի համապատասխան ծախսերում փոփոխության հանգեցրած գործոններից/ռեսուրսներից անհրաժեշտ է ներառել նաև այն գործոնների/ռեսուրսների վերաբերյալ տվյալները, որոնք ներառված են այդ ծախսերի հաշվարկներում, սակայն չեն ենթարկվել փոփոխության:</t>
  </si>
  <si>
    <t>14. Լրացվում է համապատասխան ծախսային տարրերի գծով ծախսերի հաշվարկը: Այն հաշվարկվում է ելնելով ծախսային (գնային և ոչ գնային) գործոնների կամ ռեսուրսների սպառման մակարդակներից:</t>
  </si>
  <si>
    <r>
      <t>15.</t>
    </r>
    <r>
      <rPr>
        <sz val="8"/>
        <color theme="1"/>
        <rFont val="GHEA Grapalat"/>
        <family val="3"/>
      </rPr>
      <t xml:space="preserve"> </t>
    </r>
    <r>
      <rPr>
        <i/>
        <sz val="9"/>
        <color theme="1"/>
        <rFont val="GHEA Grapalat"/>
        <family val="3"/>
      </rPr>
      <t>«Ընդամենը փոփոխության ենթարկված ծախսեր» տողում լրացում է բազային տարվա (2020թ) ծախսերի համեմատ հայտատուից անկախ պատճառներով փոփոխության ենթարկված բոլոր ծախսային տարրերի (հոդվածների) գծով ընհանուր ծախսերը: Այն հավասար է փոփոխության ենթարկված հոդվածների գծով ծախսերի հանրագումարին: Բազային տարում համապատասխան ծախսերի վերաբերյալ փաստացի ցուցանիշների բացակայության դեպքում որպես համեմատության ելակետ անհրաժեշտ է դիտարկել 2021 թվականի համար հաստատված համապատասխան պլանային ցուցանիշները:</t>
    </r>
  </si>
  <si>
    <t xml:space="preserve">16. «Ընդամենը փոփոխության չենթարկված ծախսեր» տողում լրացում է բազային տարվա (2020թ) ծախսերի համեմատ փոփոխության չենթարկված բոլոր ծախսային տարրերի (հոդվածների) գծով ընհանուր ծախսերը: Այն հավասար է փոփոխության չենթարկված ծախսային տարրերի (հոդվածների) գծով ծախսերի հանրագումարին: Ընդ որում, այդ ծախսային տարրերի (հոդվածների) գծով ծախսերի բացվածքը աղյուսակում չի ներկայացվում: Բազային տարում համապատասխան ծախսերի վերաբերյալ փաստացի ցուցանիշների բացակայության դեպքում որպես համեմատության ելակետ անհրաժեշտ է դիտարկել 2021 թվականի համար հաստատված համապատասխան պլանային ցուցանիշները: </t>
  </si>
  <si>
    <r>
      <t>17.</t>
    </r>
    <r>
      <rPr>
        <sz val="8"/>
        <color theme="1"/>
        <rFont val="GHEA Grapalat"/>
        <family val="3"/>
      </rPr>
      <t xml:space="preserve"> </t>
    </r>
    <r>
      <rPr>
        <i/>
        <sz val="9"/>
        <color theme="1"/>
        <rFont val="GHEA Grapalat"/>
        <family val="3"/>
      </rPr>
      <t xml:space="preserve">«ԸՆԴԱՄԵՆԸ» տողում լրացում է միջոցառման գծով բոլոր ծախսերի հանրագումարը՝ համապատասխան տարիների համար: </t>
    </r>
  </si>
  <si>
    <t xml:space="preserve">Աղյուսակ 3. Ծախսային խնայողությունների գծով առաջարկները </t>
  </si>
  <si>
    <t>18. Աղյուսակում ներկայացվում է միջոցառման գծով ծախսային խնայողությունների վերաբերյալ առաջարկները՝ համապատասխան հաշվարկներով և հիմնավորումներով: Ծախսային խնայողությունների վերաբերյալ առաջարկները ներկայացվում են սույն հավելվածի Աղյուսակ 2-ում համապատասխան տարիների համար հաշվարկված ծախսերի նկատմամբ:</t>
  </si>
  <si>
    <t>19. Նշվում է միջոցառման գծով ծախսային խնայողության վերաբերյալ առաջարկի բնույթը` համապատասխան տողի դիմացի վանդակում դնելով &lt;X&gt; նշանը:</t>
  </si>
  <si>
    <t>20. Ներկայացվում է միջոցառման գծով հաշվարկված ծախսերում խնայողությունների վերաբերյալ առաջարկի մանրամասն նկարագրությունը՝ ներառյալ համապատասխան հաշվարկներն ու հիմնվորումները: Անհրաժեշտության դեպքում մանրամասն այդ հաշվարկներն ու հիմնավորումները կարող են ներկայացվել աղյուսակի կից ֆայլերի տեսքով:</t>
  </si>
  <si>
    <t xml:space="preserve">21. Ներկայացվում է ծախսերի ամփոփ գնահատականը ծախսային խնայողությունների վերաբերյալ առաջարկների իրականացման արդյունքում: </t>
  </si>
  <si>
    <t>22. Ներկայացվում է միջոցառման գծով հաշվարկված ծախսերն (առանց ծախսային խնայողությունների վորաբերյալ առաջարկների ներառման) ըստ առանձին տարիների՝ տնտեսագիտական դասակարգման հոդվածներով բացվածի: Հաշվարկված ծախսեր են համարվում սույն հավելվածի Աղյուսակ 2-ում համապատասխան տարիների համար հաշվարկված ծախսերը:</t>
  </si>
  <si>
    <t>23. Ներկայացվում է միջոցառման գծով ծախսային խնայողության վերաբերյալ ամփոփ առաջարկը՝ տնտեսագիտական դասակարգման հոդվածներով բացված: Սյունակում ծախսային խնայողությունների գծով առաջարկների վերաբերյալ տեղեկատվությունը ներկայացվում է հաշվարկային ծախսերի նկատմամբ դրական կամ բացասական փոփոխությունների տեսքով:</t>
  </si>
  <si>
    <t>24. Ներկայացվում է միջոցառման գծով առաջարկվող ծախսերը՝ ծախսային խնայողությունների վերաբերյալ առաջարկները ներառած: Այն հավասար է տվյալ հոդածի գծով նախոևդ երկու սյունակներում ներառված ցուցանիշների հանրագումարին:</t>
  </si>
  <si>
    <t xml:space="preserve">4. Լրացվում է միջոցառման հիմքում դրված ծախսային պարտավորության բնույթը՝ «Պարտադիր ծախսերին դասվող միջոցառում»,
 «Հայեցողական ծախսերին դասվող միջոցառում (շարունակական)», «Հայեցողական ծախսերին դասվող միջոցառում (ոչ շարունակական)»: </t>
  </si>
  <si>
    <t>2022թ.բազային (փաստացի) տարի</t>
  </si>
  <si>
    <t>5. «Ծախսային գործոնը կամ սպառվող (ծախսվող) ռեսուրսը» սյունակում ներկայացվում են ծախսերի մակարդակի վրա ուղղակիորեն ազդող բոլոր այն գործոնները, որոնց ազդեցությամբ փոփոխություններ են կատարվել ծախսերում, ինչպես նաև այն ռեսուրսների անվանումները, որոնց սպառման (ծախսման) չափերը փոխվել են այդ գործոնների անմիջական ազդեցությամբ։ Ծախսային գործոնները պետք է ներառեն միայն այն գնային և ոչ գնային գործոնները, որոնց մակարդակների փոփոխությունները կատարվել են հայտատուից անկախ պատճառներով և որոնք անմիջականորեն ազդել են ռեսուրսների սպառման (ծախսման) մակարդակի կամ դրանց գների վրա (օրինակ՝ շահառուների թվաքանակի փոփոխությունը, նվազագույն աշխատավարձի փոփոխությունը և այլն): Սպառվող ռեսուսրները պետք է ներառեն այն բոլոր ռեսուրսները, որոնց սպառման (ծախսման)  մակարդակները փոփոխվել են վերոհիշյալ գործոնների ազդեցությամբ և որոնք հանգեցրել են ծախսերի հաշվարկների փոփոխության (օրինակ՝ աշխատողների թվաքականի փոփոխություն, էլեկտրաէներգիային սպառման ծավալների փոփոխություն և այլն):</t>
  </si>
  <si>
    <t>Ծրագիր</t>
  </si>
  <si>
    <t>Միջոցառում</t>
  </si>
  <si>
    <t>Ծրագրի/ միջոցառման անվանումը</t>
  </si>
  <si>
    <t>2022թ.</t>
  </si>
  <si>
    <t>2023թ.</t>
  </si>
  <si>
    <t>2026թ</t>
  </si>
  <si>
    <t>2025թ</t>
  </si>
  <si>
    <t>2024թ</t>
  </si>
  <si>
    <t>List 1</t>
  </si>
  <si>
    <t>List 2</t>
  </si>
  <si>
    <t>List 3</t>
  </si>
  <si>
    <t>Պարտադիր</t>
  </si>
  <si>
    <t>Գնային</t>
  </si>
  <si>
    <t>1. Գոյություն ունեցող միջոցառումը՝</t>
  </si>
  <si>
    <t>Հայեցողական (շարունակական)</t>
  </si>
  <si>
    <t>Ոչ գնային</t>
  </si>
  <si>
    <t>Հայեցողական (ոչ շարունակական)</t>
  </si>
  <si>
    <t>2. Միջոցառման հիմքում դրված ծախսային պարտավորության բնույթը՝</t>
  </si>
  <si>
    <t xml:space="preserve">3. Միջոցառման ծախսակազմման հիմքում դրված հիմնական ծախսային գործոնները՝ </t>
  </si>
  <si>
    <t xml:space="preserve">2022թ.- բազային տարի (փաստ) </t>
  </si>
  <si>
    <t>2023թ. (սպասողական)</t>
  </si>
  <si>
    <r>
      <t>4. Միջոցառման գծով ծախսային խնայողությունների առաջարկները՝</t>
    </r>
    <r>
      <rPr>
        <b/>
        <sz val="10"/>
        <color theme="1"/>
        <rFont val="GHEA Grapalat"/>
        <family val="3"/>
      </rPr>
      <t xml:space="preserve"> </t>
    </r>
    <r>
      <rPr>
        <b/>
        <vertAlign val="superscript"/>
        <sz val="10"/>
        <color theme="1"/>
        <rFont val="GHEA Grapalat"/>
        <family val="3"/>
      </rPr>
      <t>18</t>
    </r>
  </si>
  <si>
    <r>
      <t xml:space="preserve">4.1 Միջոցառման գծով ծախսային խնայողության վերաբերյալ առաջարկի բնույթը՝ </t>
    </r>
    <r>
      <rPr>
        <i/>
        <vertAlign val="superscript"/>
        <sz val="9"/>
        <color theme="1"/>
        <rFont val="GHEA Grapalat"/>
        <family val="3"/>
      </rPr>
      <t>19</t>
    </r>
  </si>
  <si>
    <r>
      <t xml:space="preserve">4.2 Նկարագրություն՝ </t>
    </r>
    <r>
      <rPr>
        <vertAlign val="superscript"/>
        <sz val="9"/>
        <color theme="1"/>
        <rFont val="GHEA Grapalat"/>
        <family val="3"/>
      </rPr>
      <t>20</t>
    </r>
  </si>
  <si>
    <t xml:space="preserve">5. Միջոցառման գծով ծախսերի ամփոփ հաշվարկը՝ </t>
  </si>
  <si>
    <t>Գնային գործոններով պայմանավորված ծախսերի ընդհանուր փոփոխությունը (+/-)</t>
  </si>
  <si>
    <t>Ոչ գնային գործոններով պայմանավորված ծախսերի ընդհանուր փոփոխությունը (+/-)</t>
  </si>
  <si>
    <t xml:space="preserve">Միջոցառման գծով ճշգրտված բազային բյուջեն </t>
  </si>
  <si>
    <r>
      <t>Ընդամենը փոփոխության չենթարկված ծախսեր (հազ. դրամ)</t>
    </r>
    <r>
      <rPr>
        <vertAlign val="superscript"/>
        <sz val="9"/>
        <color theme="1"/>
        <rFont val="GHEA Grapalat"/>
        <family val="3"/>
      </rPr>
      <t>16</t>
    </r>
  </si>
  <si>
    <r>
      <t>ԸՆԴԱՄԵՆԸ (հազ. դրամ)</t>
    </r>
    <r>
      <rPr>
        <vertAlign val="superscript"/>
        <sz val="9"/>
        <color theme="1"/>
        <rFont val="GHEA Grapalat"/>
        <family val="3"/>
      </rPr>
      <t>17</t>
    </r>
  </si>
  <si>
    <t>Լրացման պահանջներ</t>
  </si>
  <si>
    <t xml:space="preserve">1. Ձևաչափը լրացվում է բյուջետային ծրագրերի յուրաքանչյուր միջոցառման համար առանձին փաստաթղթի տեսքով (առանձին շիթերում) </t>
  </si>
  <si>
    <r>
      <t>Ծրագրային դասիչը</t>
    </r>
    <r>
      <rPr>
        <vertAlign val="superscript"/>
        <sz val="8"/>
        <color theme="1"/>
        <rFont val="GHEA Grapalat"/>
        <family val="3"/>
      </rPr>
      <t>[2]</t>
    </r>
  </si>
  <si>
    <r>
      <t>Ընդամենը ծախսեր (հազ. դրամ)</t>
    </r>
    <r>
      <rPr>
        <vertAlign val="superscript"/>
        <sz val="8"/>
        <color theme="1"/>
        <rFont val="GHEA Grapalat"/>
        <family val="3"/>
      </rPr>
      <t>14</t>
    </r>
  </si>
  <si>
    <r>
      <t>Միջոցառման հիմքում դրված ծախսային պարտավորության բնույթը՝ (ընտրել)</t>
    </r>
    <r>
      <rPr>
        <vertAlign val="superscript"/>
        <sz val="8"/>
        <color theme="1"/>
        <rFont val="GHEA Grapalat"/>
        <family val="3"/>
      </rPr>
      <t>4</t>
    </r>
  </si>
  <si>
    <t xml:space="preserve">Ծրագրի </t>
  </si>
  <si>
    <t>Բյուջետային ծախսերը (հազ. դրամ)</t>
  </si>
  <si>
    <t>2023թ.(պլանային)</t>
  </si>
  <si>
    <t>Ծախսային խնայողությունների գծով ամփոփ առաջարկը</t>
  </si>
  <si>
    <r>
      <t>Ձևաչափ N 2. Գոյություն ունեցող պարտավորությունների գծով ծախսակազմումների ամփոփ ձևաչափ</t>
    </r>
    <r>
      <rPr>
        <b/>
        <vertAlign val="superscript"/>
        <sz val="10"/>
        <color theme="1"/>
        <rFont val="GHEA Grapalat"/>
        <family val="3"/>
      </rPr>
      <t>1</t>
    </r>
  </si>
  <si>
    <t>x</t>
  </si>
  <si>
    <r>
      <t>Ընդամենը փոփոխության ենթարկված ծախսեր (հազ. դրամ)</t>
    </r>
    <r>
      <rPr>
        <vertAlign val="superscript"/>
        <sz val="9"/>
        <color theme="1"/>
        <rFont val="GHEA Grapalat"/>
        <family val="3"/>
      </rPr>
      <t>15</t>
    </r>
  </si>
  <si>
    <t>Ընդամենը</t>
  </si>
  <si>
    <t>Ներկայացնել ըստ առաջնահերթության</t>
  </si>
  <si>
    <t>Ծրագրի /միջոցառման նախատեսվող ավարտը</t>
  </si>
  <si>
    <t>Ավելացնել տողեր միջոցառումնրի համար</t>
  </si>
  <si>
    <t>Ծրագրի /միջոցառման սկիզբը</t>
  </si>
  <si>
    <r>
      <t>Ծրագրի դասիչը</t>
    </r>
    <r>
      <rPr>
        <vertAlign val="superscript"/>
        <sz val="9"/>
        <color theme="1"/>
        <rFont val="GHEA Grapalat"/>
        <family val="3"/>
      </rPr>
      <t>2</t>
    </r>
    <r>
      <rPr>
        <sz val="9"/>
        <color theme="1"/>
        <rFont val="GHEA Grapalat"/>
        <family val="3"/>
      </rPr>
      <t>՝</t>
    </r>
  </si>
  <si>
    <r>
      <t>Ծրագրի անվանումը</t>
    </r>
    <r>
      <rPr>
        <vertAlign val="superscript"/>
        <sz val="9"/>
        <color theme="1"/>
        <rFont val="GHEA Grapalat"/>
        <family val="3"/>
      </rPr>
      <t>3</t>
    </r>
    <r>
      <rPr>
        <sz val="9"/>
        <color theme="1"/>
        <rFont val="GHEA Grapalat"/>
        <family val="3"/>
      </rPr>
      <t>՝</t>
    </r>
  </si>
  <si>
    <r>
      <t>Միջոցառման դասիչը</t>
    </r>
    <r>
      <rPr>
        <vertAlign val="superscript"/>
        <sz val="9"/>
        <color theme="1"/>
        <rFont val="GHEA Grapalat"/>
        <family val="3"/>
      </rPr>
      <t>4</t>
    </r>
    <r>
      <rPr>
        <sz val="9"/>
        <color theme="1"/>
        <rFont val="GHEA Grapalat"/>
        <family val="3"/>
      </rPr>
      <t>՝</t>
    </r>
  </si>
  <si>
    <r>
      <t>Միջոցառման անվանումը</t>
    </r>
    <r>
      <rPr>
        <vertAlign val="superscript"/>
        <sz val="9"/>
        <color theme="1"/>
        <rFont val="GHEA Grapalat"/>
        <family val="3"/>
      </rPr>
      <t>5</t>
    </r>
    <r>
      <rPr>
        <sz val="9"/>
        <color theme="1"/>
        <rFont val="GHEA Grapalat"/>
        <family val="3"/>
      </rPr>
      <t>՝</t>
    </r>
  </si>
  <si>
    <r>
      <t>Ծրագրի /միջոցառման սկիզբը</t>
    </r>
    <r>
      <rPr>
        <vertAlign val="superscript"/>
        <sz val="9"/>
        <color theme="1"/>
        <rFont val="GHEA Grapalat"/>
        <family val="3"/>
      </rPr>
      <t>6</t>
    </r>
  </si>
  <si>
    <r>
      <t>Ծրագրի /միջոցառման նախատեսվող ավարտը</t>
    </r>
    <r>
      <rPr>
        <vertAlign val="superscript"/>
        <sz val="9"/>
        <color theme="1"/>
        <rFont val="GHEA Grapalat"/>
        <family val="3"/>
      </rPr>
      <t>7</t>
    </r>
  </si>
  <si>
    <r>
      <t>Ծախսային պարտավորության բնույթը</t>
    </r>
    <r>
      <rPr>
        <vertAlign val="superscript"/>
        <sz val="9"/>
        <color theme="1"/>
        <rFont val="GHEA Grapalat"/>
        <family val="3"/>
      </rPr>
      <t>8</t>
    </r>
  </si>
  <si>
    <r>
      <t>Պարտադիր կամ հայեցողական  պարտավորությունների շրջանակը</t>
    </r>
    <r>
      <rPr>
        <vertAlign val="superscript"/>
        <sz val="9"/>
        <color theme="1"/>
        <rFont val="GHEA Grapalat"/>
        <family val="3"/>
      </rPr>
      <t>9</t>
    </r>
  </si>
  <si>
    <r>
      <t>Պարտադիր պարտավորության շրջանակներում գործադիր մարմնի հայեցողական իրավասությունների շրջանակները</t>
    </r>
    <r>
      <rPr>
        <vertAlign val="superscript"/>
        <sz val="9"/>
        <color theme="1"/>
        <rFont val="GHEA Grapalat"/>
        <family val="3"/>
      </rPr>
      <t>10</t>
    </r>
  </si>
  <si>
    <r>
      <t>Պարտադիր կամ հայեցողական պարտավորությունը սահմանող օրենսդրական հիմքերը</t>
    </r>
    <r>
      <rPr>
        <vertAlign val="superscript"/>
        <sz val="9"/>
        <color theme="1"/>
        <rFont val="GHEA Grapalat"/>
        <family val="3"/>
      </rPr>
      <t>11</t>
    </r>
  </si>
  <si>
    <r>
      <t xml:space="preserve">Ծախսային գործոնը </t>
    </r>
    <r>
      <rPr>
        <vertAlign val="superscript"/>
        <sz val="9"/>
        <color theme="1"/>
        <rFont val="GHEA Grapalat"/>
        <family val="3"/>
      </rPr>
      <t xml:space="preserve">12 </t>
    </r>
  </si>
  <si>
    <r>
      <t>Չափի միավորը</t>
    </r>
    <r>
      <rPr>
        <vertAlign val="superscript"/>
        <sz val="9"/>
        <color theme="1"/>
        <rFont val="GHEA Grapalat"/>
        <family val="3"/>
      </rPr>
      <t>13</t>
    </r>
  </si>
  <si>
    <r>
      <t>Գործոնի տեսակը</t>
    </r>
    <r>
      <rPr>
        <vertAlign val="superscript"/>
        <sz val="9"/>
        <color theme="1"/>
        <rFont val="GHEA Grapalat"/>
        <family val="3"/>
      </rPr>
      <t xml:space="preserve">14 </t>
    </r>
  </si>
  <si>
    <r>
      <t>Ստանդարտի (նորմատիվի) առկայությունը</t>
    </r>
    <r>
      <rPr>
        <vertAlign val="superscript"/>
        <sz val="9"/>
        <color theme="1"/>
        <rFont val="GHEA Grapalat"/>
        <family val="3"/>
      </rPr>
      <t>15</t>
    </r>
  </si>
  <si>
    <r>
      <t>Ծախսային գործոնի մակարդակը</t>
    </r>
    <r>
      <rPr>
        <vertAlign val="superscript"/>
        <sz val="9"/>
        <color theme="1"/>
        <rFont val="GHEA Grapalat"/>
        <family val="3"/>
      </rPr>
      <t xml:space="preserve">16 </t>
    </r>
  </si>
  <si>
    <r>
      <t>Հիմնավորումներ/ Պատճառներ</t>
    </r>
    <r>
      <rPr>
        <vertAlign val="superscript"/>
        <sz val="9"/>
        <color theme="1"/>
        <rFont val="GHEA Grapalat"/>
        <family val="3"/>
      </rPr>
      <t xml:space="preserve">17 </t>
    </r>
  </si>
  <si>
    <r>
      <t>Ծախսային տարրերը</t>
    </r>
    <r>
      <rPr>
        <vertAlign val="superscript"/>
        <sz val="9"/>
        <color theme="1"/>
        <rFont val="GHEA Grapalat"/>
        <family val="3"/>
      </rPr>
      <t>21</t>
    </r>
  </si>
  <si>
    <r>
      <t>Բազային (փաստացի) տարի</t>
    </r>
    <r>
      <rPr>
        <vertAlign val="superscript"/>
        <sz val="9"/>
        <color theme="1"/>
        <rFont val="GHEA Grapalat"/>
        <family val="3"/>
      </rPr>
      <t>25</t>
    </r>
  </si>
  <si>
    <r>
      <t>Ընթացիկ տարի (պլանային)</t>
    </r>
    <r>
      <rPr>
        <vertAlign val="superscript"/>
        <sz val="9"/>
        <color theme="1"/>
        <rFont val="GHEA Grapalat"/>
        <family val="3"/>
      </rPr>
      <t>26</t>
    </r>
  </si>
  <si>
    <r>
      <t>Գնային գործոններով պայմանավորված ծախսերի ընդհանուր փոփոխությունը</t>
    </r>
    <r>
      <rPr>
        <vertAlign val="superscript"/>
        <sz val="9"/>
        <color theme="1"/>
        <rFont val="GHEA Grapalat"/>
        <family val="3"/>
      </rPr>
      <t>27</t>
    </r>
    <r>
      <rPr>
        <sz val="9"/>
        <color theme="1"/>
        <rFont val="GHEA Grapalat"/>
        <family val="3"/>
      </rPr>
      <t xml:space="preserve"> (+/-)</t>
    </r>
  </si>
  <si>
    <r>
      <t>Ոչ գնային գործոններով պայմանավորված ծախսերի ընդհանուր փոփոխությունը</t>
    </r>
    <r>
      <rPr>
        <vertAlign val="superscript"/>
        <sz val="9"/>
        <color theme="1"/>
        <rFont val="GHEA Grapalat"/>
        <family val="3"/>
      </rPr>
      <t>28</t>
    </r>
    <r>
      <rPr>
        <sz val="9"/>
        <color theme="1"/>
        <rFont val="GHEA Grapalat"/>
        <family val="3"/>
      </rPr>
      <t xml:space="preserve"> (+/-)</t>
    </r>
  </si>
  <si>
    <r>
      <t>Միջոցառման գծով ճշգրտված բազային բյուջեն</t>
    </r>
    <r>
      <rPr>
        <vertAlign val="superscript"/>
        <sz val="9"/>
        <color theme="1"/>
        <rFont val="GHEA Grapalat"/>
        <family val="3"/>
      </rPr>
      <t>29</t>
    </r>
    <r>
      <rPr>
        <sz val="9"/>
        <color theme="1"/>
        <rFont val="GHEA Grapalat"/>
        <family val="3"/>
      </rPr>
      <t xml:space="preserve"> </t>
    </r>
  </si>
  <si>
    <r>
      <t>Ծախսային խնայողության գծով ամփոփ առաջարկը</t>
    </r>
    <r>
      <rPr>
        <vertAlign val="superscript"/>
        <sz val="9"/>
        <color theme="1"/>
        <rFont val="GHEA Grapalat"/>
        <family val="3"/>
      </rPr>
      <t>30</t>
    </r>
    <r>
      <rPr>
        <sz val="9"/>
        <color theme="1"/>
        <rFont val="GHEA Grapalat"/>
        <family val="3"/>
      </rPr>
      <t xml:space="preserve"> (-)</t>
    </r>
  </si>
  <si>
    <r>
      <t>Միջոցառման գծով ծախսերը</t>
    </r>
    <r>
      <rPr>
        <vertAlign val="superscript"/>
        <sz val="9"/>
        <color theme="1"/>
        <rFont val="GHEA Grapalat"/>
        <family val="3"/>
      </rPr>
      <t>31</t>
    </r>
    <r>
      <rPr>
        <sz val="9"/>
        <color theme="1"/>
        <rFont val="GHEA Grapalat"/>
        <family val="3"/>
      </rPr>
      <t xml:space="preserve"> </t>
    </r>
  </si>
  <si>
    <t>Գյուղատնտեսության խթանման ծրագիր</t>
  </si>
  <si>
    <t>Պետական աջակցություն Հայաստանի Հանրապետության գյուղատնտեսական ծրագրերի իրականացմանը</t>
  </si>
  <si>
    <t xml:space="preserve">Աշխատողների աշխատավարձեր և հավելավճարներ   </t>
  </si>
  <si>
    <t>հաստիք</t>
  </si>
  <si>
    <t>Էներգետիկ ծառայություններ /էլեկրաէներգիա, գազ/</t>
  </si>
  <si>
    <t>կվտ/ժամ/հազ./</t>
  </si>
  <si>
    <t>Կոմունալ ծառայություններ</t>
  </si>
  <si>
    <t>Կապի ծառայություններ</t>
  </si>
  <si>
    <t>դրամ</t>
  </si>
  <si>
    <t>Ապահովագրական ծախսեր</t>
  </si>
  <si>
    <t>Ներքին գործուղումներ</t>
  </si>
  <si>
    <t>Համակարգչային ծառայություններ</t>
  </si>
  <si>
    <t>Տեղեկատվական ծառայություններ</t>
  </si>
  <si>
    <t>Ընդհանուր բնույթի այլ ծառայություններ</t>
  </si>
  <si>
    <t>հատ</t>
  </si>
  <si>
    <t>Մեքենաների և սարքավորումներիրի ընթացիկ նորոգում</t>
  </si>
  <si>
    <t>Գրասենյակային նյութեր և հագուստ /անասնաբուժների արտահագուստ-550*3000դրամ=  1650.0/</t>
  </si>
  <si>
    <t>Տրանսպորտային նյութեր</t>
  </si>
  <si>
    <t>հազ․ լիտր</t>
  </si>
  <si>
    <t>Շրջակա միջավայրի պաշտպանության և գիտակա նյութեր</t>
  </si>
  <si>
    <t>Առողջապահական և լաբորատոր նյութեր</t>
  </si>
  <si>
    <t>Կենցաղային և հանրային սննդի նյութեր</t>
  </si>
  <si>
    <t>Այլ հարկեր /ԱԱՀ/</t>
  </si>
  <si>
    <t>Պարտադիր վճարներ</t>
  </si>
  <si>
    <t>Տարբերությունը պայմանավորված է 38 համաճարակաբանների համար ինտերնետ կապի ապահովմամբ՝ 4500 /ինտերնետ կապի արժեքը  ԱԱՀ-ով/*38 = 2052,0հազ.դրամ։ՊՈԱԿ-ի աշխատակազմում Մոնիթորինգի և խորհրդատվության բաժնի  ներառմամբ և  գործառույթների ավելացմամբ պայմանավորված՝ ավելացել են ծախսերը։</t>
  </si>
  <si>
    <t>Տարբերությունը պայմանավորված է ՀՀ  կառ. 15ապրիլ 2021թ N 581-Ա որոշմամբ հատկացված մարզային 33 տարածքները համաճարակաբանների կողմից որպես աշխատանքային սենյակներ օգտագործելու հանգամանքով պայմանավորված, ինչպես նաև ՀՀ ՀԿԾՀ-ի՝ 30.11.2021թ հ.405-Ն հրամանով սահմանված 200.47դրամ սակագնով։ ՊՈԱԿ-ի աշխատակազմում Մոնիթորինգի և խորհրդատվության բաժնի  ներառմամբ և  գործառույթների ավելացմամբ պայմանավորված՝ ավելացել են ծախսերը։</t>
  </si>
  <si>
    <t xml:space="preserve">Համավարակով ու հետպատերազմական խնդիրներով պայմանավորված 2021 թվականի տարեվերջին վիճակագրական կոմիտեի հրապարակած տվյալների համաձայն արձանագրվել է առաջին անհրաժեշտության ապրանքների, հագուստի գների երկնիշ գնաճ ՝ 13 մինչև 40%-ի չափով, ինչպես նաև կոմունալ վճարների բարձրացումով: Հաշվի առնելով վերոգրյալը՝ 2024թ, 2025թ և 2026 թվականների համար առաջարկում ենք  15 %-ի չափով ավելացնել աշխատողների աշխատավարձերը և հավելավճարները:   Սույն հոդվածով աշխատավարձների բարձրացման համար հիմք է հանդիսացել Կառավարության 2022 թվականի սեպտեմբերի 29-ի նիստում հավանության է արժանացած «Նվազագույն ամսական աշխատավարձի մասին» օրենքում փոփոխություններ կատարելու մասին» օրենքի նախագիծը, որով նախատեսվում է 2023 թվականի հունվարի 1-ից նվազագույն աշխատավարձը սահմանել 75000 դրամ: 
</t>
  </si>
  <si>
    <t xml:space="preserve"> Աշխատակազմի մասնագիտական զարգացման ծառայություններ</t>
  </si>
  <si>
    <t>Ներկայացուցչական ծախսեր</t>
  </si>
  <si>
    <t>Շարունակական</t>
  </si>
  <si>
    <t>Հաստիքային միավորների փոփոխությամբ։</t>
  </si>
  <si>
    <t>Աջակցություն Հայաստանի Հանրապետության  բուսաբուծության խթանման, բույսերի պաշտպանության և անասնաբուժական, հողերի կոնսոլիդացիա և ծրագրերի մոնիթորինգի իրականացմանը։</t>
  </si>
  <si>
    <r>
      <t xml:space="preserve">ՀՀ կառավարության փետրվարի 6–ի </t>
    </r>
    <r>
      <rPr>
        <sz val="9"/>
        <color theme="1"/>
        <rFont val="Calibri"/>
        <family val="2"/>
      </rPr>
      <t>N</t>
    </r>
    <r>
      <rPr>
        <sz val="9"/>
        <color theme="1"/>
        <rFont val="GHEA Grapalat"/>
        <family val="3"/>
      </rPr>
      <t xml:space="preserve"> 138–Ն որոշում։
</t>
    </r>
  </si>
  <si>
    <t>համաձայն ՀՀ ՀԿՎԾ-ի՝ 29.12.2021թ հ 478-ն հրամանի</t>
  </si>
  <si>
    <t>հատ/մեքենա</t>
  </si>
  <si>
    <t xml:space="preserve">գործուղումների թիվը    </t>
  </si>
  <si>
    <t>ՀՀ կառավարության 2022 թվականի ապրիլի 7-ի N 439-Ն որոշմամբ պայմանավորված</t>
  </si>
  <si>
    <t>ՊՈԱԿ-ի հաստիքացուցակում բացի վարչական կազմից՝ 42 հաստիք 108940.0 հազար դրամ,  ընդգրկված են նաև 38 համաճարակաբաններ, որոնց  տարեկան աշխատավարձը կազմում է 99632.0հազ.դրամ, ինչպես նաև ՊՈԱԿ-ի աշխատակազմում ներառվել է Մոնիթորինգի և տեղազննությունների բաժինը՝ 15 հաստիք (44 070.0 հազ. դրամ)։</t>
  </si>
  <si>
    <t>խոր․մ․</t>
  </si>
  <si>
    <t>Շենքերի և կառույցների ընթացիկ նորոգում</t>
  </si>
  <si>
    <t xml:space="preserve">Գրասենյակային նյութեր և հագուստ </t>
  </si>
  <si>
    <t>1կվտ/ժամ = 53,48դրամ սակագին համաձայն ՀՀ ՀԿՎԾ-ի՝ 29.12.2021թ հ 478-ն հրամանի ներառյալ ԱԱՀ                                                              Հաշվարկված է  ՊՈԱԿ-ի երկու մասնաշենքերի  ընդհանուր 2247,22ք/մ տարածքի, 62 համակարգչի,որից 38ը գտնվում է մարզերում,անասնաբուժական դեղամիջոցների պահպանման համար նախատեսված սառնարանների համար։ ՊՈԱԿ-ի աշխատակազմում Մոնիթորինգի և խորհրդատվության բաժնի  ներառմամբ և  գործառույթների ավելացմամբ պայմանավորված՝ ավելացել են ծախսերը։</t>
  </si>
  <si>
    <t>Տարբերությունը պայմանավորված է ՀՀ  կառ. 15ապրիլ 2021թ N 581-Ա որոշմամբ հատկացված մարզային 33 տարածքների աշխատանքային պայմանների բարելավման հետ։</t>
  </si>
  <si>
    <t xml:space="preserve">Տարբերությունը կապված է վառելիքի գնի թանկացման հետ։ </t>
  </si>
  <si>
    <t xml:space="preserve"> Գյուղատնտեսության խթանման  ծրագիր</t>
  </si>
  <si>
    <t>«Պետական աջակցություն Հայաստանի Հանրապետության խաղողագործության և գինեգործության ոլորտներում վարվող պետական քաղաքականության ու զարգացման ծրագրերի իրականացման»</t>
  </si>
  <si>
    <t>ՀՀ կառավարության կողմից հաստատված ծրագրի կողմնորոշիչ չափորոշիչներին համաձայն ծախսերի փոխհատուցման տոկոսի սահմանումը:</t>
  </si>
  <si>
    <t>ՀՀ կառավարության 2021 թվականի հունիսի 3-ի N 927-Լ որոշում</t>
  </si>
  <si>
    <t>Աշխատողների աշխատավարձեր և հավելավճարներ</t>
  </si>
  <si>
    <t xml:space="preserve">հատ </t>
  </si>
  <si>
    <t>Ավտոմեքենայի ընթացիկ նորոգում և պահպանում</t>
  </si>
  <si>
    <t>Գրասենյակային նյութեր</t>
  </si>
  <si>
    <t>Տնտեսական ապրանքներ</t>
  </si>
  <si>
    <t>Վարչական ծառայություններ</t>
  </si>
  <si>
    <t>Ընդհանուր բնույթի այլ ծառայություններ/ Միջազգային և տեղացի փորձագետների, լրագրողների, բլոգերների ներգրավում</t>
  </si>
  <si>
    <t>Բեռնափոխադրումների իրականացում</t>
  </si>
  <si>
    <t>Ցուցահանդեսների իրականացման հետ կապված ծառայությունների ձեռքբերում</t>
  </si>
  <si>
    <t>Մասնագիտական ծառայություններ</t>
  </si>
  <si>
    <t>Ավիատոմսերի ձեռքբերում</t>
  </si>
  <si>
    <t>Հյուրանոցային ծառայություններ</t>
  </si>
  <si>
    <t>Գինիների համտես-շնորհանդեսների կազմակերպման հետ կապված ծառայություններ</t>
  </si>
  <si>
    <t>Հեռուստահաղորդումների նկարահանման հետ կապված ծառայություններ</t>
  </si>
  <si>
    <t>Գովազդային արշավի իրականացման հետ կապված ծառայություններ</t>
  </si>
  <si>
    <t xml:space="preserve">Wines of Armeniа հովանոցային ապրանքանիշի առաջմղման հետ կապված ծառայություններ </t>
  </si>
  <si>
    <t xml:space="preserve">Խաղողի ռեեստրի ստեղծման հետ կապված ծառայություններ </t>
  </si>
  <si>
    <t>Կոլեկցիոն, ցուցադրական այգիների և տնկարանի մշակման հետ կապված ծառայություններ</t>
  </si>
  <si>
    <t>Գինիների առաջմղման հետ կապված մարքեթինգային ծառայություններ</t>
  </si>
  <si>
    <t xml:space="preserve">Աշխարհագրական նշումով գինիների համակարգի վերահսկող մարմնի ստեղծում </t>
  </si>
  <si>
    <t xml:space="preserve">Ֆիլոքսերայի տարածման կանխարգելման վերահսկման և մշտադիտարկման մեխաննիզմի հետազոտության մշակում և իրականացում </t>
  </si>
  <si>
    <t>Խաղողի տնկարանների ստեղծման հետ կապված ծառայություններ</t>
  </si>
  <si>
    <t>Գինու արտադրության աուդիտի հավատարմագրված մարմնի ստեղծում</t>
  </si>
  <si>
    <t>Միջազգային ուղեցույցների հիման վրա Հայաստանի բնական պայմաններին հարմարեցված հարակայունության ուղեցույցների ստեղծում</t>
  </si>
  <si>
    <t>Քիմիական լաբորատորիաների միջև տրամաչափագրման համակարգի թարմացում</t>
  </si>
  <si>
    <t>ԱԱՀ</t>
  </si>
  <si>
    <t xml:space="preserve"> </t>
  </si>
  <si>
    <t>միջոցառման շրջանակներում շախսերի փոխհատուցման տոկոսի նվազեցում</t>
  </si>
  <si>
    <t>Գործառնական և բանկային ծառայությունների ծախսեր</t>
  </si>
  <si>
    <t>Անասնաբուժական ծառայություն</t>
  </si>
  <si>
    <t>Գյուղատնտեսական կենդանիների պատվաստում</t>
  </si>
  <si>
    <t xml:space="preserve">Անասնաբուժական ծառայությունների մատուցման շրջանակը ներառում է հանրապետության բոլոր համայնքների կենդանիներին: </t>
  </si>
  <si>
    <t>Անասնաբույժի ծառայությունների մատուցման միավորի գին, կենդանատեսակների և հիվանդությունների փոփոխություն։</t>
  </si>
  <si>
    <r>
      <t xml:space="preserve">«Անասնաբուժության մասին» օրենքի 6–րդ հոդվածի 2–րդ մասի 3–րդ կետ, 06.10.2022թ․ </t>
    </r>
    <r>
      <rPr>
        <sz val="9"/>
        <color theme="1"/>
        <rFont val="Calibri"/>
        <family val="2"/>
      </rPr>
      <t>N</t>
    </r>
    <r>
      <rPr>
        <sz val="9"/>
        <color theme="1"/>
        <rFont val="GHEA Grapalat"/>
        <family val="3"/>
      </rPr>
      <t xml:space="preserve"> 1544–Լ որոշում</t>
    </r>
  </si>
  <si>
    <t xml:space="preserve">Անասնաբույժերին տրվող ծառայության վճար՝մեկ պայմանական գլխի համար </t>
  </si>
  <si>
    <t>Անասնաբույժի կողմից ծառայության մատուցման վճարի բարձրացումը պայմանավորված է հանրապետության սպառողական շուկայում 2022 թվականի մարտին, նախորդ տարվա նույն ամսվա համեմատ գրանցված 7.4% գնաճով, որը վկայում են Վիճակագրական կոմիտեի (ՀՀ ՎԿ) տվյալները՝ հանրապետությունում գրանցված 12-ամսյա գնաճը մարտին հիմնականում պայմանավորված է եղել սննդամթերքի թանկացմամբ, ինչպես նաև այլ ծառայությունների թանկացմամբ։</t>
  </si>
  <si>
    <t>Անասնաբույժերի կողմից մատուցվող ծառայությունների քանակը</t>
  </si>
  <si>
    <r>
      <t xml:space="preserve">Միաջոցառումների քանակական ավելացումը պայմանավորված է </t>
    </r>
    <r>
      <rPr>
        <b/>
        <u/>
        <sz val="9"/>
        <color theme="1"/>
        <rFont val="GHEA Grapalat"/>
        <family val="3"/>
      </rPr>
      <t>ևս մեկ միջոցառման ավելացմամբ՝ ՍԱՏՄ–ի կողմից N 02/03.1/1719-2023 գրությամբ ներկայացված առաջարկի (Մ/4383-2023, 06.02.2023թ) հիման վրա</t>
    </r>
    <r>
      <rPr>
        <sz val="9"/>
        <color theme="1"/>
        <rFont val="GHEA Grapalat"/>
        <family val="3"/>
      </rPr>
      <t xml:space="preserve"> ՄԵԿ–ին ծաղիկի դեմ, ինչպես նաև ԽԵԿ–ի ամբողջ գլխաքանակի նկատմաբ հանգուցավոր մաշկաբորբի ՄԵԿ դաբաղի դեմ կանխարգելիչ միջոցառումներ իրականացմամբ։</t>
    </r>
  </si>
  <si>
    <t>Բրուցելոզի (Ռոզ-բենգալ) ախտորոշիչ</t>
  </si>
  <si>
    <t>Ձեռքբերումն իրականացվում է 1116-11003 միջոցառման շրջանակներում։</t>
  </si>
  <si>
    <t>մլ</t>
  </si>
  <si>
    <t>համաձայն ախտորոշիչի հրահանգի</t>
  </si>
  <si>
    <t>Լեկոզի ախտորոշիչ /հատ հավաքածու/</t>
  </si>
  <si>
    <t>Տուբերկուլին ախտորոշիչ</t>
  </si>
  <si>
    <t>Հայտարարված մրցույթերի և շուկայական հարցումներ արդյուքում։</t>
  </si>
  <si>
    <t>Ձիերի խլնախտ (մալեին)
 ախտորոշիչ</t>
  </si>
  <si>
    <t>Ձեռքբերման անհրաժեշտությունը բացակայում է։</t>
  </si>
  <si>
    <t>Հակադաբաղային պատվաստանյութ</t>
  </si>
  <si>
    <t>համաձայն պատվաստանյութի հրահանգի</t>
  </si>
  <si>
    <t xml:space="preserve">2023թ․ դաբաղի նկատմամբ պատվաստանյութի քանակությունը նվազեցվել է, քանի որ բավարար ֆինանսական միջոցներ չեն տրամադրվել, սակայն հանրապետությունում անասնահամաճարակային կայուն իրավիճակը պահպանելու և միջազգային պարտավորությունների կատարումն ապահովելու նպատակով՝ 2–րդ եռամսյակում պատվաստանյութի ձեռքբերման և ծառայությունների մատուցման վճարի հատկացման համար նախագծով առաջարկությունը կներկայացվի ՀՀ վարչապետի աշխատակազմ։ 2024թ համար պատվաստանյութի ձեռքբերումը հաշվարկված է ըստ սեռահասակային խմբի՝ ամբողջ ծավալով, միաժամանակ հաշվի է առնվել ՍԱՏՄ–ի կողմից ներկայացված առաջարկը՝ (Մ/4383-2023, 06.02.2023թ) ՄԵԿ գլխաքանակը ընդգրկել ամբողջությամբ։ </t>
  </si>
  <si>
    <t>Հակասիբրիախտային պատվաստանյութ</t>
  </si>
  <si>
    <t>Պայմանավորված է ձիերի գլխաքանակի նվազեցմամբ։</t>
  </si>
  <si>
    <t xml:space="preserve">Էմկարի դեմ պատվաստանյութ </t>
  </si>
  <si>
    <t>Բազային տարվա նկատմամբ նվազեցումը պայմանավորված է անասնագլխաքանակի նվազեցմամբ՝ ըստ ՀՀ վիճակագրական կոմիտեի հրապարակաված տվյալների։</t>
  </si>
  <si>
    <t>Մանր եղջերավոր կենդանիների ծաղիկի և ԽԵԿ հանգուցավոր մաշկաբորբի դեմ պատվաստանյութ</t>
  </si>
  <si>
    <t xml:space="preserve">ՄԵԿ ծաղիկի և ԽԵԿ հանգուցավոր մաշկաբորբի պատվաստանյութի չափաքանակի ավելացումը պայմանավորված է հանրապետության մի շարք համայնքերում ՄԵԿ ծաղիկի կլինիկան նշաներով ՍԱՏՄ–ի կողմից արձանագրված դեպքերի, ինչպես նաև ըստ Կենդանիների առողջության համաշխարհային կազմակերպության 2022 թ հրապարակումների՝ հիվադության դեպքեր են արձանագրվել Իսպանիայում, Ռուսաստանում, Ադրբեջանում, որը ուղղակի վտանգ է Հայաստանի Հանրապետության համար։  
</t>
  </si>
  <si>
    <t>Քլորակիր</t>
  </si>
  <si>
    <t>կգ</t>
  </si>
  <si>
    <t>Կաուստիկ սոդա</t>
  </si>
  <si>
    <t>Գնային գործոնի փոփոխությունը պայմանավորված է շուկայական հարցումներով և փաստացի ձեռքբերմամբ։</t>
  </si>
  <si>
    <t>Ֆորմալին</t>
  </si>
  <si>
    <t>Մասնագիտական ծառայություն</t>
  </si>
  <si>
    <t xml:space="preserve">ԱԱՀ </t>
  </si>
  <si>
    <t>Առողջապահական և լաբորատոր նյութեր/Բրուցելոզ (Ռոզ-Բենգալ) ախտորոշիչ</t>
  </si>
  <si>
    <t>Առողջապահական և լաբորատոր նյութեր/Տուբերկուլին ախտորոշիչ</t>
  </si>
  <si>
    <t>Առողջապահական և լաբորատոր նյութեր/Խլնախտի ախտորոշիչ</t>
  </si>
  <si>
    <t xml:space="preserve">Առողջապահական և լաբորատոր նյութեր/Լեկոզի ախտորոշիչ (հավաքածու) </t>
  </si>
  <si>
    <t>Առողջապահական և լաբորատոր նյութեր /Հակադաբաղային պատվաստանյութ</t>
  </si>
  <si>
    <t>Առողջապահական և լաբորատոր նյութեր /Հակասիբրիախտային պատվաստանյութ</t>
  </si>
  <si>
    <t>Առողջապահական և լաբորատոր նյութեր /Էմկարի դեմ պատվաստանյութ</t>
  </si>
  <si>
    <t>Առողջապահական և լաբորատոր նյութեր /Մանր եղջերավոր կենդանիների ծաղիկի և ԽԵԿ հանգուցավոր մաշկաբորբի դեմ պատվաստանյութ</t>
  </si>
  <si>
    <t>Առողջապահական և լաբորատոր նյութեր
/Քլորակիր</t>
  </si>
  <si>
    <t>Առողջապահական և լաբորատոր նյութեր
/Կաուստիկ սոդա</t>
  </si>
  <si>
    <t>Առողջապահական և լաբորատոր նյութեր
/Ֆորմալին</t>
  </si>
  <si>
    <t>Հայաստանի Հանրապետությունում խոշոր եղջերավոր կենդանիների համարակալում և հաշվառում</t>
  </si>
  <si>
    <t xml:space="preserve">Անասնաբուժական ծառայությունների մատուցման շրջանակը ներառում է հանրապետության բոլոր համայնքների խոշոր եղջերավոր կենդանիներին: </t>
  </si>
  <si>
    <t>Անասնաբույժի ծառայությունների մատուցման միավորի գին</t>
  </si>
  <si>
    <r>
      <t xml:space="preserve">«Անասնաբուժության մասին» օրենքի 6–րդ հոդվածի 2–րդ մասի 8–րդ կետ, 11.06.2020թ․ 
</t>
    </r>
    <r>
      <rPr>
        <sz val="9"/>
        <color theme="1"/>
        <rFont val="Calibri"/>
        <family val="2"/>
      </rPr>
      <t>N</t>
    </r>
    <r>
      <rPr>
        <sz val="9"/>
        <color theme="1"/>
        <rFont val="GHEA Grapalat"/>
        <family val="3"/>
      </rPr>
      <t xml:space="preserve"> 954–Լ որոշում</t>
    </r>
  </si>
  <si>
    <t>2023թ. 
(սպասողական)</t>
  </si>
  <si>
    <t>Անասնաբույժերին տրվող ծառայության վճար՝ մեկ գլխի համար</t>
  </si>
  <si>
    <t>Անասնաբույժի կողմից ծառայության մատուցման վճարի բարձրացումը պայմանավորված է  սննդամթերքի թանկացմամբ, ինչպես նաև այլ ծառայությունների թանկացմամբ։</t>
  </si>
  <si>
    <t>Նախատեսվում է իրակացնել ընթացիկ տարվա հորթերի նկատմամբ։</t>
  </si>
  <si>
    <t>«ԱՆԻ ՊԱՍ» էլեկտրոնային համակարգի տեխնիկատեղեկատվական սպասարկում</t>
  </si>
  <si>
    <t>ամիս</t>
  </si>
  <si>
    <t>Պայմանավորված է ծառայության փաստացի ձեռքբերումով։</t>
  </si>
  <si>
    <t>Տավարի ականջների պիտակներ</t>
  </si>
  <si>
    <t>համաձայն միջազգային ստանդարտների</t>
  </si>
  <si>
    <t>Հաշվարկված է ըստ կանծխատեսվող հորթերի գլխաքանակի։</t>
  </si>
  <si>
    <t>Սեղմիչ ակցաններ</t>
  </si>
  <si>
    <r>
      <t>Ծրագրի դասիչը</t>
    </r>
    <r>
      <rPr>
        <vertAlign val="superscript"/>
        <sz val="10"/>
        <color theme="1"/>
        <rFont val="GHEA Grapalat"/>
        <family val="3"/>
      </rPr>
      <t>2</t>
    </r>
    <r>
      <rPr>
        <sz val="10"/>
        <color theme="1"/>
        <rFont val="GHEA Grapalat"/>
        <family val="3"/>
      </rPr>
      <t>՝</t>
    </r>
  </si>
  <si>
    <r>
      <t>Ծրագրի /միջոցառման սկիզբը</t>
    </r>
    <r>
      <rPr>
        <vertAlign val="superscript"/>
        <sz val="10"/>
        <color theme="1"/>
        <rFont val="GHEA Grapalat"/>
        <family val="3"/>
      </rPr>
      <t>6</t>
    </r>
  </si>
  <si>
    <r>
      <t>Ծրագրի անվանումը</t>
    </r>
    <r>
      <rPr>
        <vertAlign val="superscript"/>
        <sz val="10"/>
        <color theme="1"/>
        <rFont val="GHEA Grapalat"/>
        <family val="3"/>
      </rPr>
      <t>3</t>
    </r>
    <r>
      <rPr>
        <sz val="10"/>
        <color theme="1"/>
        <rFont val="GHEA Grapalat"/>
        <family val="3"/>
      </rPr>
      <t>՝</t>
    </r>
  </si>
  <si>
    <t>Էկոնոմիկայի ոլորտում պետական քաղաքականության մշակում՝ ծրագրերի համակարգում և մոնիտորինգ</t>
  </si>
  <si>
    <r>
      <t>Ծրագրի /միջոցառման նախատեսվող ավարտը</t>
    </r>
    <r>
      <rPr>
        <vertAlign val="superscript"/>
        <sz val="10"/>
        <color theme="1"/>
        <rFont val="GHEA Grapalat"/>
        <family val="3"/>
      </rPr>
      <t>7</t>
    </r>
  </si>
  <si>
    <t>շարունակական</t>
  </si>
  <si>
    <r>
      <t>Միջոցառման դասիչը</t>
    </r>
    <r>
      <rPr>
        <vertAlign val="superscript"/>
        <sz val="10"/>
        <color theme="1"/>
        <rFont val="GHEA Grapalat"/>
        <family val="3"/>
      </rPr>
      <t>4</t>
    </r>
    <r>
      <rPr>
        <sz val="10"/>
        <color theme="1"/>
        <rFont val="GHEA Grapalat"/>
        <family val="3"/>
      </rPr>
      <t>՝</t>
    </r>
  </si>
  <si>
    <r>
      <t>Միջոցառման անվանումը</t>
    </r>
    <r>
      <rPr>
        <vertAlign val="superscript"/>
        <sz val="10"/>
        <color theme="1"/>
        <rFont val="GHEA Grapalat"/>
        <family val="3"/>
      </rPr>
      <t>5</t>
    </r>
    <r>
      <rPr>
        <sz val="10"/>
        <color theme="1"/>
        <rFont val="GHEA Grapalat"/>
        <family val="3"/>
      </rPr>
      <t>՝</t>
    </r>
  </si>
  <si>
    <t xml:space="preserve">ՀՀ էկոնոմիկայի նախարարության կողմից իրականացվող պետական աջակցության ծրագրերի հանրային իրազեկման ապահովում </t>
  </si>
  <si>
    <r>
      <t>Ծախսային պարտավորության բնույթը</t>
    </r>
    <r>
      <rPr>
        <vertAlign val="superscript"/>
        <sz val="10"/>
        <color theme="1"/>
        <rFont val="GHEA Grapalat"/>
        <family val="3"/>
      </rPr>
      <t>8</t>
    </r>
  </si>
  <si>
    <r>
      <t>Պարտադիր կամ հայեցողական  պարտավորությունների շրջանակը</t>
    </r>
    <r>
      <rPr>
        <vertAlign val="superscript"/>
        <sz val="10"/>
        <color theme="1"/>
        <rFont val="GHEA Grapalat"/>
        <family val="3"/>
      </rPr>
      <t>9</t>
    </r>
  </si>
  <si>
    <r>
      <t>Պարտադիր պարտավորության շրջանակներում գործադիր մարմնի հայեցողական իրավասությունների շրջանակները</t>
    </r>
    <r>
      <rPr>
        <vertAlign val="superscript"/>
        <sz val="10"/>
        <color theme="1"/>
        <rFont val="GHEA Grapalat"/>
        <family val="3"/>
      </rPr>
      <t>10</t>
    </r>
  </si>
  <si>
    <r>
      <t>Պարտադիր կամ հայեցողական պարտավորությունը սահմանող օրենսդրական հիմքերը</t>
    </r>
    <r>
      <rPr>
        <vertAlign val="superscript"/>
        <sz val="10"/>
        <color theme="1"/>
        <rFont val="GHEA Grapalat"/>
        <family val="3"/>
      </rPr>
      <t>11</t>
    </r>
  </si>
  <si>
    <t>Նախարարության կողմից իրականացվող ծրագրերի հանրային իրազեկվածության ապահովում տարբեր լրատվամիջոցներով և սոցիալական ցանցերով</t>
  </si>
  <si>
    <r>
      <t xml:space="preserve">ՀՀ կառավարության 2021թ․ օգոստոսի 18-ի N 1363-Ա որոշմամբ հաստատված՝ ՀՀ կառավարության 2021-2026թթ․ ծրագիր                  
Հայաստանւ Հանրապետության 2022թ․-ի թ․-ի պետական  բյուջեի մասին օրենքում վարաբաշխում, լրացում և ՀՀ կառավարության 2021 թվականի դեկտեմբերի 23-ի N 2121-Ն  որոշման մեջ փոփոխություններ և լրացումներ կատարելու մասին ՀՀ կառավարության որոշում                                                                                                                                                                                                                                                                                                                                                                                                                                                                                                                                                                                                                 
</t>
    </r>
    <r>
      <rPr>
        <i/>
        <sz val="10"/>
        <color theme="1"/>
        <rFont val="GHEA Grapalat"/>
        <family val="3"/>
      </rPr>
      <t>ՀՀ Վարչապետի 2019 թվականի հունիսի 1-ի N658-Լ որոշում - "ՀՀ էկոնոմիկայի նախարարության կանոնադրությունը հաստատելու և Հայաստանի Հանրապետության վարչապետի 2018 թվականի հունիսի 11-ի  N744-Լ և Հայաստանի Հանրապետության վարչապետի 2018 թվականի հունիսի 11-ի N742-Լ որոշումներն ուժը կորցրած ճանաչելու մասին" - 11.5, 11.9, 11.10, 11.20 կետեր։19 Մայիսի 2022, 703 - Ն</t>
    </r>
  </si>
  <si>
    <r>
      <t xml:space="preserve">Ծախսային գործոնը </t>
    </r>
    <r>
      <rPr>
        <vertAlign val="superscript"/>
        <sz val="10"/>
        <color theme="1"/>
        <rFont val="GHEA Grapalat"/>
        <family val="3"/>
      </rPr>
      <t xml:space="preserve">12 </t>
    </r>
  </si>
  <si>
    <r>
      <t>Չափի միավորը</t>
    </r>
    <r>
      <rPr>
        <vertAlign val="superscript"/>
        <sz val="10"/>
        <color theme="1"/>
        <rFont val="GHEA Grapalat"/>
        <family val="3"/>
      </rPr>
      <t>13</t>
    </r>
  </si>
  <si>
    <r>
      <t>Գործոնի տեսակը</t>
    </r>
    <r>
      <rPr>
        <vertAlign val="superscript"/>
        <sz val="10"/>
        <color theme="1"/>
        <rFont val="GHEA Grapalat"/>
        <family val="3"/>
      </rPr>
      <t xml:space="preserve">14 </t>
    </r>
  </si>
  <si>
    <r>
      <t>Ստանդարտի (նորմատիվի) առկայությունը</t>
    </r>
    <r>
      <rPr>
        <vertAlign val="superscript"/>
        <sz val="10"/>
        <color theme="1"/>
        <rFont val="GHEA Grapalat"/>
        <family val="3"/>
      </rPr>
      <t>15</t>
    </r>
  </si>
  <si>
    <r>
      <t>Ծախսային գործոնի մակարդակը</t>
    </r>
    <r>
      <rPr>
        <vertAlign val="superscript"/>
        <sz val="10"/>
        <color theme="1"/>
        <rFont val="GHEA Grapalat"/>
        <family val="3"/>
      </rPr>
      <t xml:space="preserve">16 </t>
    </r>
  </si>
  <si>
    <r>
      <t>Հիմնավորումներ/ Պատճառներ</t>
    </r>
    <r>
      <rPr>
        <vertAlign val="superscript"/>
        <sz val="10"/>
        <color theme="1"/>
        <rFont val="GHEA Grapalat"/>
        <family val="3"/>
      </rPr>
      <t xml:space="preserve">17 </t>
    </r>
  </si>
  <si>
    <t>Գովազդի իրականացում սոցիալական հարթակներով</t>
  </si>
  <si>
    <t xml:space="preserve">ոչ </t>
  </si>
  <si>
    <r>
      <rPr>
        <b/>
        <sz val="10"/>
        <color theme="1"/>
        <rFont val="GHEA Grapalat"/>
        <family val="3"/>
      </rPr>
      <t xml:space="preserve"> </t>
    </r>
    <r>
      <rPr>
        <i/>
        <sz val="10"/>
        <color theme="1"/>
        <rFont val="GHEA Grapalat"/>
        <family val="3"/>
      </rPr>
      <t xml:space="preserve">2023թ․-ին  գովազդի իրականացումը հնարավորություն կտա ՀՀ էկոնոմիկայի նախարարության կողմից իրականացվող ծրագրերի վերաբերյալ հանրային իրազեկման լայնածավալ գործընթացի իրականացմամբ բարձրացնել հանրային իրազեկվածության մակարդակը՝ընդլայնելով լսարանը։ Կավելանա սոցիալական ցանցերում հետևորդների քանակը։ Հասցեական տեղեկատվություն տրամադրումը և հրապարակումը կնպաստեն ծրագրերի մասին առավել մեծ թվով մարդկանց կողմից դիտելիություն սոցիալական հարթակներով։ /Գովազդի բյուջեն կարող է սկսել 5 ԱՄՆ դոլարից։ Նախատեսվում է իրականացնել 20 ծրագրի համար։  </t>
    </r>
  </si>
  <si>
    <t>Իրականացվող ծրագրերի մասին տեղեկատվական անիմացիոն հոլովակներ</t>
  </si>
  <si>
    <t xml:space="preserve">Իրականացվող ծրագրերի մասին տեղեկատվական անիմացիոն հոլովակների պատրաստումը և տարածումը հնարավորություն կտան բարձրացնել հանրային իրազեկվածության մակարդակը։ Կավելանա պատրաստված հոլովակների թիվը, որոնք հնրավոր կլինի օգտագործել տարաբնույթ միջոցառումների ժամանա;։ Պատրաստված հոլովակների՝ սոցիալական ցանցերով, նախարարության կայքէջով, ԶԼՄ-ներով  տարածումը հնրավորություն կտա ընդլայնել իրազեկման ուղիները, ավելի հասանելի և մատչելի դարձնել տեղեկատվությունը։ /Հոլովակի պատրաստման միջին շուկայական արժեքը 200․000 դրամ; Հ/Ը ցուցադրման 1 րոպեի արժեքը սկսած 78․000-ից։ Նախատեսվում է ունենալ 230 րոպե  եթերաժամանակ; </t>
  </si>
  <si>
    <t>Տեղեկատվական գրքույկներ</t>
  </si>
  <si>
    <r>
      <rPr>
        <i/>
        <sz val="10"/>
        <color theme="1"/>
        <rFont val="GHEA Grapalat"/>
        <family val="3"/>
      </rPr>
      <t>Տեղեկատվական գրքույկների պատրաստումը  (գյուղատնտեսության աջակցության ծրագրեր) և տարածումը/տրամադրումը մարզպետարաններին հնարավորություն կտան բարձրացնել հանրային իրազեկվածության մակարդակը։  Գրքույկների տրամադրումը մարզպետարաններին  թույլ կտա դրանք բաժանել բնակիչներին, օգտագործել իրազեկման տարբեր միջոցառումների ժամանակի։ /Տեղեկատվական գրքույկի 1 օրինակի արժեքը կտատանվի 240-500 ՀՀ դրամի սահմաններում</t>
    </r>
    <r>
      <rPr>
        <sz val="10"/>
        <color theme="1"/>
        <rFont val="GHEA Grapalat"/>
        <family val="3"/>
      </rPr>
      <t xml:space="preserve">։ </t>
    </r>
  </si>
  <si>
    <t>SMS տեղեկացում</t>
  </si>
  <si>
    <r>
      <rPr>
        <b/>
        <sz val="10"/>
        <color theme="1"/>
        <rFont val="GHEA Grapalat"/>
        <family val="3"/>
      </rPr>
      <t xml:space="preserve"> </t>
    </r>
    <r>
      <rPr>
        <i/>
        <sz val="10"/>
        <color theme="1"/>
        <rFont val="GHEA Grapalat"/>
        <family val="3"/>
      </rPr>
      <t>Իրականացվող բոլոր միջոցառումները հնարավորություն կտան ՀՀ էկոնոմիկայի նախարարության կողմից իրականացվող պետական աջակցության ծրագրերի վերաբերյալ հանրային իրազեկման լայնածավալ գործընթացի իրականացմամբ բարձրացնել հանրային իրազեկվածության մակարդակը, կնպաստեն իրականացվող ծրագրերից օգտվող շահառուների քանակի ավելացմանը։ Նախնական հաշվարկն արված է Nikita Mobile-ի տրամադրած գնառաջարկի հիման վրա։ 
Մեկ ինֆորմացիոն sms-ի արժեքը՝ 8,5 ՀՀ դրամ ներառյալ ԱԱՀ։
Մեկ ինֆորմացիոն viber հաղորդագրություն՝ 8 ՀՀ դրամ ներառյալ ԱԱՀ։ SMS marketing նախատեսվում է իրականացնել 5 ծրագրի համար։</t>
    </r>
  </si>
  <si>
    <t xml:space="preserve">Ռադիոհաղորդումներ </t>
  </si>
  <si>
    <t>Իրականացվող բոլոր միջոցառումները հնարավորություն կտան ՀՀ էկոնոմիկայի նախարարության կողմից իրականացվող պետական աջակցության ծրագրերի վերաբերյալ հանրային իրազեկման լայնածավալ գործընթացի իրականացմամբ բարձրացնել հանրային իրազեկվածության մակարդակը, կնպաստեն իրականացվող ծրագրերից օգտվող շահառուների քանակի ավելացմանը։ Ներկայումս տնեսավարողներից շատերը տեղյակ են ծրագրերից, սակայն ծանոթ չեն շահառու դառնալու համար անհրաժեշտ քայլերին և կամ ծրագրերի պայմաններին։Հասցեական տեղեկատվություն տրամադրումը ծրագրերի կարևորության, նպատակների, խնդիրների և սպասվելիք արդյունքերի մասին տարաբնույթ միջոցառումները թույլ կտան ընդլայնել իրազեկման ուղիները, ունենալ հստակ գործողությունների ծրագիր, ավելի հասանելի և մատչելի դարձնել տեղեկատվությունը։/Նախնական հաշվարկն արված է 
Իմ ՌադիոFM 103.8-ի գնառաջարկի հիման վրա՝
1 րոպեի արժեքը՝ 3000 ՀՀ դրամ/</t>
  </si>
  <si>
    <t xml:space="preserve">Հաջողված պատմությունների հիման վրա պատրաստված հոլովակներ,  տարածում հեռուստաեթերներում </t>
  </si>
  <si>
    <r>
      <t xml:space="preserve"> </t>
    </r>
    <r>
      <rPr>
        <i/>
        <sz val="10"/>
        <color theme="1"/>
        <rFont val="GHEA Grapalat"/>
        <family val="3"/>
      </rPr>
      <t>Հաջողված պատմությունների հիման վրա հոլովակների պատրաստումը և տարածումը հեռուստաեթերներում շահագրգրռվածություն կառաջացնի տնտեսավարողների շրջանում, որպեսզի իրենք ևս օգտվեն պետական աջակցությունից։ /Հոլովակի պատրաստման միջին շուկայական արժեքը՝ 200․000-250․000 ՀՀ դրամ։
(հստակ գնառաջարկ հնարավոր կլինի ունենալ միայն հոլովակի բոլոր չափորոշիչների հստակեցումից հետո)
Բարձր վարկանիշ ունեցող հեռուստաընկերություններով ցուցադրման 1 րոպեի արժեքը՝ 1․200․000, ցածր վարկանիշ ունեցող հեռուստաընկերություններով՝ 150․000  դրամ։ Նախատեսվում է ունենալ 250 րոպե եթերաժամանակ տարբեր հեռուստաընկերություններով/։</t>
    </r>
  </si>
  <si>
    <t xml:space="preserve">Հեռուստաֆիլմերի պատրաստում </t>
  </si>
  <si>
    <t xml:space="preserve">Ծրագրերի իրականացման ընթացքում հեռուստաֆիլմերի պատրաստման անհրաժեշտությունը վերացել է։  </t>
  </si>
  <si>
    <t>Billboard-երի տպագրություն և տեղադրում մայրուղիներում և ՀՀ մարզերում</t>
  </si>
  <si>
    <r>
      <t xml:space="preserve">  </t>
    </r>
    <r>
      <rPr>
        <i/>
        <sz val="10"/>
        <color theme="1"/>
        <rFont val="GHEA Grapalat"/>
        <family val="3"/>
      </rPr>
      <t>Billboard-երի տպագրությունը և տեղադրումը տեսանելի վայրերում հնարավորություն կտան բարձրացնել հանրային իրազեկվածության մակարդակը՝ նպաստելով իրականացվող ծրագրերի վերաբերյալ տեղեկացված տնտեսավարողների քանակի ավելացմանը։ Հասցեական տեղեկատվություն տրամադրումը  թույլ կտա ավելի հասանելի և մատչելի դարձնել տեղեկատվությունը։/Հաշվարկն արված է Նուշիկյան Ասոցիացիայի տրամադրած գնառաջարկի հիման վրա։
1 պոստերի տպագրության արժեքը՝ 3000-5.500 ՀՀ դրամ  1 բիլբորդի ամսավճարը կախված է բիլբորդի հասցեից։ Արժեքներն այստեղ՝ https://nushikyan.8k.am/?fbclid=IwAR11FDF8oD7P2sZ1QNdXFoiwR-ytjX8uBWGnRWmIwgzCZVrLae3O5vED0-k  
(Հստակ հաշվարկներ հնարավոր կլինի ունենալ հասցեների ճշգրտումից և բիլբորդների քանակից կախված)/</t>
    </r>
  </si>
  <si>
    <t xml:space="preserve">Համագործակցություն ԶԼՄ-ների հետ, նաև երիտասարդական ամսագրերում հոդվածների տպագրություն և պատվիրում </t>
  </si>
  <si>
    <t>Իրականացվող բոլոր միջոցառումները հնարավորություն կտան ՀՀ էկոնոմիկայի նախարարության կողմից իրականացվող պետական աջակցության ծրագրերի վերաբերյալ հանրային իրազեկման լայնածավալ գործընթացի իրականացմամբ բարձրացնել հանրային իրազեկվածության մակարդակը, կնպաստեն իրականացվող ծրագրերից օգտվող շահառուների քանակի ավելացմանը։ Ներկայումս տնեսավարողներից շատերը տեղյակ են ծրագրերից, սակայն ծանոթ չեն շահառու դառնալու համար անհրաժեշտ քայլերին և կամ ծրագրերի պայմաններին։Հասցեական տեղեկատվություն տրամադրումը ծրագրերի կարևորության, նպատակների, խնդիրների և սպասվելիք արդյունքերի մասին տարաբնույթ միջոցառումները թույլ կտան ընդլայնել իրազեկման ուղիները, ունենալ հստակ գործողությունների ծրագիր, ավելի հասանելի և մատչելի դարձնել տեղեկատվությունը։/Օնլայն (evnmag.com) և տպագիր ձևաչափով
1 հոդվածի տպագրության արժեքը՝ 250․000-350․000 ՀՀ դրամ՝ կախված հոդվածի ծավալից։
Regional  Post ամսագրում 1 հոդվածի տպագրության արժեքը՝ 300․000 ՀՀ դրամ։</t>
  </si>
  <si>
    <t>Հարցազրույցներ հ/ը-երով և ռադիոյով</t>
  </si>
  <si>
    <r>
      <rPr>
        <i/>
        <sz val="10"/>
        <color theme="1"/>
        <rFont val="GHEA Grapalat"/>
        <family val="3"/>
      </rPr>
      <t>Հարցազրույցների կազմակերպումը հարավորություն կտա բարձրացնել ՀՀ էկոնոմիկայի նախարարության կողմից իրականացվող պետական աջակցության ծրագրերի վերաբերյալ  հանրային իրազեկվածության մակարդակը, կնպաստեն իրականացվող ծրագրերի վերաբերյալ տնտեսավարողների քանակի ավելացմանը։  Ներկայումս տնեսավարողներից շատերը տեղյակ են ծրագրերից, սակայն ծանոթ չեն շահառու դառնալու համար անհրաժեշտ քայլերին և կամ ծրագրերի պայմաններին։Հասցեական տեղեկատվություն տրամադրումը ծրագրերի կարևորության, նպատակների, խնդիրների և սպասվելիք արդյունքերի մասին տարաբնույթ միջոցառումները թույլ կտան ընդլայնել իրազեկման ուղիները, ունենալ հստակ գործողությունների ծրագիր, ավելի հասանելի և մատչելի դարձնել տեղեկատվությունը։
/Հաշվարկն արված է՝ հիմք ընդունելով Շանթ հ/ը-ն և Իմ ՌադիոFM 103.8-ի գնառաջարկը։</t>
    </r>
    <r>
      <rPr>
        <sz val="10"/>
        <color theme="1"/>
        <rFont val="GHEA Grapalat"/>
        <family val="3"/>
      </rPr>
      <t xml:space="preserve">
1 հյուրընկալության արժեքը Առավոտյան Շանթում՝ 300․000 ՀՀ դրամ + անվճար հյուրընկալություն Հորիզոնի տաղավարում                           Ռադիոյի 1 րոպեի արժեքը՝ 2400 ՀՀ դրամ                                         Հարցազրույցների քանակը կորոշվի ծրագրերի իրականացման ընթացքում՝ ըստ անհրաժեշտության/։</t>
    </r>
  </si>
  <si>
    <t>Արտաքին PR-ի իրականացում նախարարության և նախարարության ենթակա մարմինների գործունեության վերաբերյալ միջազգային հարթակներում</t>
  </si>
  <si>
    <t xml:space="preserve">Միջազգային հարթակներում նախարարության և նախարարության ենթակա մարմինների գործունեության վերաբերյալ հանրային իրազեկման աշխատանքները կնպաստեն Հայաստանի տնտեսության և Հայաստանում տնտեսական գործունեություն իրականացնելու հնարավորությունների վերաբերյալ իրազեկվածության բարձրացմանը։ </t>
  </si>
  <si>
    <t>Բլոգերների ներգրավում իրականացվող աշխատանքներում</t>
  </si>
  <si>
    <t xml:space="preserve">Բլոգերների ներգրավումը հնարավորություն կընձեռի ընդլայնել  նախարարության կողմից իրականացվող ծրագերի վերաբերյալ տեղեկատվության տարածումը և կնպաստի լսարանի մեծացմանը։ </t>
  </si>
  <si>
    <t xml:space="preserve">Թվային մարքետինգի իրականացում </t>
  </si>
  <si>
    <t xml:space="preserve">Տեղեկատվության հանրայնացում և տարածում՝ օգտագործելով թվային մարքետինգի հնարավորությունները։ </t>
  </si>
  <si>
    <t xml:space="preserve">Կազմակերպվող միջոցառումների լուսաբանում/համաժողովներ, հանդիպումներ, այցեր և այն/ </t>
  </si>
  <si>
    <t>Իրականացվող միջոցառումների մասին հանրային իրազեկման ծրագրերի իրականացում։ Ծառայությունների պատվիրում /1 միջոցառման գինը սկսած 300 000 ՀՀ դրամից/</t>
  </si>
  <si>
    <r>
      <t xml:space="preserve">4.2 Նկարագրություն՝ </t>
    </r>
    <r>
      <rPr>
        <vertAlign val="superscript"/>
        <sz val="10"/>
        <color theme="1"/>
        <rFont val="GHEA Grapalat"/>
        <family val="3"/>
      </rPr>
      <t>20</t>
    </r>
  </si>
  <si>
    <r>
      <t>Ծախսային տարրերը</t>
    </r>
    <r>
      <rPr>
        <vertAlign val="superscript"/>
        <sz val="10"/>
        <color theme="1"/>
        <rFont val="GHEA Grapalat"/>
        <family val="3"/>
      </rPr>
      <t>21</t>
    </r>
  </si>
  <si>
    <r>
      <t>Բազային (փաստացի) տարի</t>
    </r>
    <r>
      <rPr>
        <vertAlign val="superscript"/>
        <sz val="10"/>
        <color theme="1"/>
        <rFont val="GHEA Grapalat"/>
        <family val="3"/>
      </rPr>
      <t>25</t>
    </r>
  </si>
  <si>
    <r>
      <t>Ընթացիկ տարի (պլանային)</t>
    </r>
    <r>
      <rPr>
        <vertAlign val="superscript"/>
        <sz val="10"/>
        <color theme="1"/>
        <rFont val="GHEA Grapalat"/>
        <family val="3"/>
      </rPr>
      <t>26</t>
    </r>
  </si>
  <si>
    <r>
      <t>Գնային գործոններով պայմանավորված ծախսերի ընդհանուր փոփոխությունը</t>
    </r>
    <r>
      <rPr>
        <vertAlign val="superscript"/>
        <sz val="10"/>
        <color theme="1"/>
        <rFont val="GHEA Grapalat"/>
        <family val="3"/>
      </rPr>
      <t>27</t>
    </r>
    <r>
      <rPr>
        <sz val="10"/>
        <color theme="1"/>
        <rFont val="GHEA Grapalat"/>
        <family val="3"/>
      </rPr>
      <t xml:space="preserve"> (+/-)</t>
    </r>
  </si>
  <si>
    <r>
      <t>Ոչ գնային գործոններով պայմանավորված ծախսերի ընդհանուր փոփոխությունը</t>
    </r>
    <r>
      <rPr>
        <vertAlign val="superscript"/>
        <sz val="10"/>
        <color theme="1"/>
        <rFont val="GHEA Grapalat"/>
        <family val="3"/>
      </rPr>
      <t>28</t>
    </r>
    <r>
      <rPr>
        <sz val="10"/>
        <color theme="1"/>
        <rFont val="GHEA Grapalat"/>
        <family val="3"/>
      </rPr>
      <t xml:space="preserve"> (+/-)</t>
    </r>
  </si>
  <si>
    <r>
      <t>Միջոցառման գծով ճշգրտված բազային բյուջեն</t>
    </r>
    <r>
      <rPr>
        <vertAlign val="superscript"/>
        <sz val="10"/>
        <color theme="1"/>
        <rFont val="GHEA Grapalat"/>
        <family val="3"/>
      </rPr>
      <t>29</t>
    </r>
    <r>
      <rPr>
        <sz val="10"/>
        <color theme="1"/>
        <rFont val="GHEA Grapalat"/>
        <family val="3"/>
      </rPr>
      <t xml:space="preserve"> </t>
    </r>
  </si>
  <si>
    <r>
      <t>Ծախսային խնայողության գծով ամփոփ առաջարկը</t>
    </r>
    <r>
      <rPr>
        <vertAlign val="superscript"/>
        <sz val="10"/>
        <color theme="1"/>
        <rFont val="GHEA Grapalat"/>
        <family val="3"/>
      </rPr>
      <t>30</t>
    </r>
    <r>
      <rPr>
        <sz val="10"/>
        <color theme="1"/>
        <rFont val="GHEA Grapalat"/>
        <family val="3"/>
      </rPr>
      <t xml:space="preserve"> (-)</t>
    </r>
  </si>
  <si>
    <r>
      <t>Միջոցառման գծով ծախսերը</t>
    </r>
    <r>
      <rPr>
        <vertAlign val="superscript"/>
        <sz val="10"/>
        <color theme="1"/>
        <rFont val="GHEA Grapalat"/>
        <family val="3"/>
      </rPr>
      <t>31</t>
    </r>
    <r>
      <rPr>
        <sz val="10"/>
        <color theme="1"/>
        <rFont val="GHEA Grapalat"/>
        <family val="3"/>
      </rPr>
      <t xml:space="preserve"> </t>
    </r>
  </si>
  <si>
    <r>
      <t>Ընդամենը փոփոխության ենթարկված ծախսեր (հազ. դրամ)</t>
    </r>
    <r>
      <rPr>
        <vertAlign val="superscript"/>
        <sz val="10"/>
        <color theme="1"/>
        <rFont val="GHEA Grapalat"/>
        <family val="3"/>
      </rPr>
      <t>15</t>
    </r>
  </si>
  <si>
    <r>
      <t>Ընդամենը փոփոխության չենթարկված ծախսեր (հազ. դրամ)</t>
    </r>
    <r>
      <rPr>
        <vertAlign val="superscript"/>
        <sz val="10"/>
        <color theme="1"/>
        <rFont val="GHEA Grapalat"/>
        <family val="3"/>
      </rPr>
      <t>16</t>
    </r>
  </si>
  <si>
    <t xml:space="preserve">շարունակական </t>
  </si>
  <si>
    <t xml:space="preserve">Կոնյակի սպիրտի իրացման աջակցության ծրագիր </t>
  </si>
  <si>
    <t>Կոնյակի սպիրտ իրացնող (հարյուր հազար լիտրից ավելի) տնտեսավարող սուբյեկտներին վճարված լրացուցիչ պետական տուրքի չափով աջակցության տրամադրում</t>
  </si>
  <si>
    <t xml:space="preserve">2021 թվականի օգոստոսի 18-ի N 1363-Ա, Կառավարության 2021 թվականի նոյեմբերի 18-ի N 1902-Լ և Կառավարության 2022 թվականի սեպտեմբերի 22-ի N 1471-Լ որոշումներ 
</t>
  </si>
  <si>
    <t>2020 թվականի օգոստոսի 13-ի N 1355-Լ որոշում</t>
  </si>
  <si>
    <t>100 հազար լիտրը գերազանցող մասի իրացման իրավունք ստացած կոնյակի սպիրտ</t>
  </si>
  <si>
    <t>հազար բացարձակ լիտր</t>
  </si>
  <si>
    <t>ոչ</t>
  </si>
  <si>
    <t>5745,5</t>
  </si>
  <si>
    <t>10000,0</t>
  </si>
  <si>
    <t>Հաշվի առնելով, որ կոնյակի սպիրտի տարանցիկ փոխադրումների ժամանակ վրացական կողմից ստեղծված խոչընդոտներով պայմանավորված  իրացման ակնկալվող ծավալները չեն ապահովվում` նախատեսվում է ծրագիրը շարունակել նաև 2024 և 2025 թվականներին՝ կուտակված կոնյակի սպիրտների ծավալներն իրացնելու համար տնտեսավարողներին աջակցելու նպատակով։</t>
  </si>
  <si>
    <t>Սուբսիդիաներ ոչ պետական ֆինանսական կազմակերպություններին</t>
  </si>
  <si>
    <t>Գյուղատնտեսական հումքի մթերումների (գնումների) նպատակով տրամադրվող վարկերի տոկոսադրույքների սուբսիդավորման ծրագիր</t>
  </si>
  <si>
    <t>Հանրապետության տարածքում գործող պտուղբանջարեղեն, խաղող և կաթ վերամշակող արդյունաբերության,  սպանդանոցային ծառայությունների ոլորտում զբաղված և շինշիլայի գնումներ իրականացնող իրավաբանական անձանց և անհատ ձեռնարկատերերին մինչև 12 տոկոսով տրամադրված նպատակային վարկերի տոկոսադրույքների մինչև 9, իսկ ՀՀ կառավարության 2014 թվականի դեկտեմբերի 18-ի N 1444-Ն որոշմամբ հաստատված սոցիալական աջակցություն ստացող սահմանամերձ բնակավայրերի տարածքներում գործունեություն իրականացնող տնտեսավարողների համար մինչև 12 տոկոսային կետի սուբսիդավորում։</t>
  </si>
  <si>
    <t xml:space="preserve">ՀՀ կառավարության 2021 թվականի փետրվարի 11-ի «Հայաստանի Հանրապետության կառավարության մի շարք որոշումներով սահմանված վարկերի կամ լիզինգի փաստացի տոկոսադրույքների առավելագույն չափ և արտոնյալ պայմաններ սահմանելու մասին» N 175-Լ որոշմամբ 2021 թվականին վարկերը տրամադրվել են մինչև 14 տոկոս տոկոսադրույքով, որն ամբողջությամբ սուբսիդավորվում է։ ՀՀ կառավարության 2021 թվականի սեպտեմբերի 2-ի N  1436-Լ, 2022 թվականի ապրիլի 15-ի N 506-Լ և 2022 թվականի սեպտեմբերի 29-ի N 1506-Լ որոշումներով Ծրագրի պայմաններում կատարվել են փոփոխություններ և  ըստ ուղղությունների սահմանվել են վարկերի տրամադրման տարբեր առավելագույն չափեր, մարման ժամկետներ և սուբսիդավորման տարբեր տոկոսադրույքներ։
</t>
  </si>
  <si>
    <t>ՀՀ կառավարության 2019 թվականի փետրվարի 28-ի «Գյուղատնտեսական հումքի մթերումների (գնումների) նպատակով տրամադրվող վարկերի   տոկոսադրույքների  սուբսիդավորման  ծրագիրը   հաստատելու մասին» N 201-Լ որոշում</t>
  </si>
  <si>
    <t>Սուբսիդավորվող տնտեսավարող սուբյեկտների՝ վարկառուների թիվը /շուրջ/</t>
  </si>
  <si>
    <t>շահառու</t>
  </si>
  <si>
    <t>ՀՀ կառավարության 2021 թվականի սեպտեմբերի 2-ի N  1436-Լ, 2022 թվականի ապրիլի 15-ի N 506-Լ  և 2022 թվականի սեպտեմբերի 29-ի N 1506-Լ որոշումներ</t>
  </si>
  <si>
    <t xml:space="preserve">Շահառուների թվի փոփոխությունը պայմանավորված է  նախորդ տարիների պարտավորություններով, քանի որ Ծրագրի պայմաններում կատարվել են փոփոխություններ և  ըստ ուղղությունների սահմանվել են վարկերի տրամադրման տարբեր առավելագույն չափեր, մարման ժամկետներ և սուբսիդավորման տարբեր տոկոսադրույքներ, ըստ որոնց վարկերը տրամադրվել են 1.5, 3 և 4 տարի ժամկետներով, այդ պատճառով շահառուների որոշ մասի պարտավորությունները տեղափոխվել են հաջորդող տարիներ։  </t>
  </si>
  <si>
    <t>Նախորդ տարիներից սուբսիդավորվող տնտեսավարող սուբյեկտներ, վարկառու</t>
  </si>
  <si>
    <t>Սուբսիդավորման տոկոսադրույքի փոփոխություն</t>
  </si>
  <si>
    <t>տոկոս</t>
  </si>
  <si>
    <t>ՀՀ կառավարության 2022 թվականի սեպտեմբերի 29-ի N 1506-Լ որոշում</t>
  </si>
  <si>
    <t xml:space="preserve"> 2022 թվականի սեպտեմբերի 1-ից մինչև 2022 թվականի դեկտեմբերի 30-ը  խաղողի մթերումների  նպատակով վարկերը տրամադրվել են մինչև 4 տարի մարման ժամկետով, սուբսիդավորվում են 11 տոկոսային կետով, իսկ վարկերի մայր գումարի մարման համար սահմանված արտոնյալ ժամկետը վարկը տրամադրելու պահից հաշվարկվելու է ոչ ավելի, քան 24 ամիս։ Ըստ այդմ ավելացել են ինչպես շահառուների քանակը, այնպես էլ ներգրավված վարկերի չափը, իսկ պարտավորությունների մի մասը տեղափոխվել է հաջորդող տարիներ։ Ծախսակազմումն իրականացվել է վարկային հաշվիչներով, որոնք կցվում են։</t>
  </si>
  <si>
    <t>Գյուղատնտեսության արդիականացման ծրագիր</t>
  </si>
  <si>
    <t>Հայաստանի Հանրապետության ագրոպարենային ոլորտի սարքավորումների լիզինգի աջակցության ծրագիր</t>
  </si>
  <si>
    <t>Հայաստանի Հանրապետության ագրոպարենային ոլորտի տնտեսավարողներին (ֆիզիկական և իրավաբանական անձինք, այդ թվում՝ գյուղատնտեսական կոոպերատիվներ, անհատ ձեռնարկատերեր) սարքավորումների լիզինգը տրամադրվում է 20% կանխավճարով, 5 տարի մարման ժամկետով, ՀՀ դրամով՝ տարեկան մինչև 12% փաստացի տոկոսադրույքով, որի մինչև 10 տոկոսային կետը սուբսիդավորում է, արտարժույթով՝ տարեկան մինչև 9 տոկոս փաստացի տոկոսադրույքով, որի մինչև 6 տոկոսային կետը սուբսիդավորում է, իսկ ՀՀ կառավարության 2014 թվականի դեկտեմբերի 18-ի N 1444-Ն որոշմամբ հաստատված սոցիալական աջակցություն ստացող սահմանամերձ բնակավայրերի տարածքներում գործունեություն իրականացնող տնտեսավարողների համար տոկոսադրույքներն ամբողջությամբ սուբսիդավորվում են։</t>
  </si>
  <si>
    <t>ՀՀ կառավարության 2020 թվականի մարտի 26-ի «Կորոնավիրուսի տնտեսական հետևանքների չեզոքացման երկրորդ միջոցառումը հաստատելու մասին» N 356-Լ և ՀՀ կառավարության 2021 թվականի փետրվարի 11-ի «Հայաստանի Հանրապետության կառավարության մի շարք որոշումներով սահմանված վարկերի կամ լիզինգի փաստացի տոկոսադրույքների առավելագույն չափ և արտոնյալ պայմաններ սահմանելու մասին» N 175-Լ որոշումներով լիզինգը տրամադրվել է մինչև 14 տոկոս տոկոսադրույքով, որն ամբողջությամբ սուբսիդավորվելու է, իսկ ՀՀ կառավարության 2022 թվականի ապրիլի 15-ի N 488-Լ որոշմամբ սահմանվել է, որ 2022 թվականի ապրիլի 16-ից մինչև 2022 թվականի դեկտեմբերի 31-ը սուբսիդավորվում է Հայաստանի Հանրապետության դրամով տրամադրված լիզինգի 10, արտարժույթով տրամադրված լիզինգի՝ 6 տոկոսային կետը։</t>
  </si>
  <si>
    <t>ՀՀ կառավարության 2018 թվականի հուլիսի 19-ի «Հայաստանի Հանրապետությունում ագրոպարենային ոլորտի սարքավորումների լիզինգի աջակցության ծրագիրը հաստատելու մասին» N 893-Լ որոշում</t>
  </si>
  <si>
    <t xml:space="preserve"> Սուբսիդավորվող տնտեսավարող սուբյեկտներ, լիզինգառու </t>
  </si>
  <si>
    <t>ՀՀ կառավարության 2020 թվականի մարտի 26-ի N 356-Լ որոշում 
ՀՀ կառավարության 2021 թվականի փետրվարի 11-ի N 175-Լ որոշում,
ՀՀ կառավարության 2022 թվականի ապրիլի 15-ի N 488-Լ որոշում</t>
  </si>
  <si>
    <t>Ծրագրի նկատմամբ առկա բարձր պահանջարկով պայմանավորված ավելացել է ինչպես շահառուների թիվը, այնպես էլ լիզինգի պորտֆելը։ Բացի այդ տեղափոխվում են նաև նախորդ տարիների պարտավորությունները։ Շահառուների թվի փոփոխությունը ազդեցություն չի ունենում ծախսակազմման վրա։</t>
  </si>
  <si>
    <t xml:space="preserve"> Նախորդ տարիներից սուբսիդավորվող տնտեսավարող սուբյեկտներ, լիզինգառու </t>
  </si>
  <si>
    <t xml:space="preserve">Տրամադրվող լիզինգի առարկայի արժեքը </t>
  </si>
  <si>
    <t>մլրդ դրամ</t>
  </si>
  <si>
    <t>ՀՀ կառավարության 2018 թվականի հուլիսի 19-ի  N 893-Լ որոշում</t>
  </si>
  <si>
    <t xml:space="preserve">Սուբսիդիաներ  ոչ պետական ֆինանսական  կազմակերպություններին </t>
  </si>
  <si>
    <t xml:space="preserve"> 2,004,699.80 </t>
  </si>
  <si>
    <t>Աշխատողների հաստիքների քանակ</t>
  </si>
  <si>
    <t>Ոչ</t>
  </si>
  <si>
    <t>Բյուջեի ավելացմամբ պայմանավորված, անհրաժեշտ է ավելացնել հաստիքների քանակը</t>
  </si>
  <si>
    <t>Միջոցառումների իրականացումը պայմանավորված է հայկական գինիների ճանաչելիության բարձրացման, նոր շուկաներ մուտք գործելու և արտահանման ծավալները մեծացնելու անհրաժեշտությամբ, որն իր հերթին կնպաստի գինու արտադրության ծավալների աճին</t>
  </si>
  <si>
    <t xml:space="preserve">Միջացառման իրականացումը պայմանավորված է արտերկրում հայկական գինիների համտես շնորհանդեսների, ցուցահանդեսների և մրցույթների մասնակցության նպատակով գինիների բեռնափոխադրման հետ </t>
  </si>
  <si>
    <t>Միջոցառման իրականացումը կնպաստի բարձրորակ հումքի  և գինիների արտադրությանը</t>
  </si>
  <si>
    <t xml:space="preserve">Նախատեսվում է միջազգային փորձագետների, գինու լրագրողների և գնորդների համար ավիատոմսերի ձեռքբերում </t>
  </si>
  <si>
    <t xml:space="preserve">Նախատեսվում է միջազգային փորձագետների, գինու լրագրողների և գնորդների համար հյուրանոցային ծառայությունների  ձեռքբերում </t>
  </si>
  <si>
    <t>Միջոցառման իրականացումը նպատակ ունի խթանել տեղական շուկայում հայկական գինիների սպառմանը</t>
  </si>
  <si>
    <t xml:space="preserve">Միջոցառումը կնպաստի "Հայաստանի գինիներ" հովանոցային ապրանքանիշի ներքո բարձրորակ գինիների արտադրությունն ու արտահանմանը </t>
  </si>
  <si>
    <t>Միջոցառման արդյունքում հասանելի կլինի ՀՀ մարզերում խաղողի այգիների տեղակայման, զբաղեցրած մակերեսի և պատկանելիության, այգու ագրոնոմիական բնութագրի, խաղողի սորտերի, գինեգործական արտադրանքի ծավալների վերաբերյալ ճշգրիտ տեղեկատվություն</t>
  </si>
  <si>
    <t xml:space="preserve">Բարձրորակ գինիների արտադրություն, ներդրումային գրավչության բարձրացում </t>
  </si>
  <si>
    <t xml:space="preserve">Ֆիլոքսերայի տարածման կանխարգելում </t>
  </si>
  <si>
    <t xml:space="preserve">Հայկական խաղողի տեղածին սորտերի տնկիների արտադրություն </t>
  </si>
  <si>
    <t xml:space="preserve">Բարձրորակ գինիների արտադրության խթանում </t>
  </si>
  <si>
    <t xml:space="preserve">Միջազգային տանդարտներին համապատասխան գինիների արտադրություն </t>
  </si>
  <si>
    <t xml:space="preserve">Փորձարկման երաշխավորված արդյունքների ապահովում </t>
  </si>
  <si>
    <t>ավելի քան 5 տարի</t>
  </si>
  <si>
    <t xml:space="preserve"> Բուսաբուծության խթանում և բույսերի պաշտպանություն </t>
  </si>
  <si>
    <t xml:space="preserve"> Բույսերի պաշտպանության միջոցառումներ </t>
  </si>
  <si>
    <t>1. Մկնանման կրծողների դեմ պայքարի նպատակով մկնասպան թունանյութերի ձեռք բերում և ըստ անհրաժեշտության անհատույց բաշխում մարզերի համայնքներին
2․ մորեխների, թրթուրների, ինչպես նաև բազմամյա տնկարկների, բանջարաբոստանային և հացահատիկային մշակաբույսերի հիմնական վնասատուների ու հիվանդությունների դեմ պայքարի նպատակով թունանյութի ձեռք բերում և ըստ անհրաժեշտության անհատույց բաշխում մարզերի համայնքներին
3․ Լոլիկի հարավամերիկյան ցեցի, խնձորի պտղակեր վնասատուի, արևելյան պտղակերի դեմ պայքարի նպատակով ֆերոմոնային թակարդների ձեռք բերում և անհատույց տեղադրում որոշ համայնքների գյուղատնտեսական նշանակության հողատեսքերում։</t>
  </si>
  <si>
    <t>ՀՀ կառավարությւան 2019 թվականի դեկտեմբերի 19-ի «Ապահովող հիմնական ուղղությունների 2020-2030 թվականների ռազմավարությունը և Հայաստանի Հանրապետության գյուղատնտեսության ոլորտի տնտեսական զարգացումն ապահովող հիմնական ուղղությունների 2020-2030 թվականների ռազմավարության կատարմանն ուղղված 2023-2025 թվականների միջոցառումների ծրագիրը և ժամանակացույցը հաստատելու մասին» N 1886-Լ որոշման N1 հավելվածի 27․ Սննդամթերքի անվտանգության ապահովման բաժնի 27․1-րդ կետի 3-րդ ենթակետի, ՀՀ կառավարության 2021 թվականի նոյեմբերի 18-ի «Հայաստանի Հանրապետության կառավարության 2021-2026 թվականների գործունեության միջոցառումների ծրագիրը հաստատելու մասին» N  1902-Լ որոշման N1 հավելվածի 9.7-րդ ենթակետ</t>
  </si>
  <si>
    <t>թունանյութեր (բրոմադիոլոն)</t>
  </si>
  <si>
    <t>լիտր</t>
  </si>
  <si>
    <t>գյուղատնտեսական հողատեսքերում բուսասանիտարական մոնիթորինգի հեկտարի ավելացում</t>
  </si>
  <si>
    <t>թունանյութեր (ցիպերմետրին)</t>
  </si>
  <si>
    <t>2022 թվականին ձեռք է բերվել այլ փոխարինող թունանյութ, քանի որ նախատեսված  նախահաշվային գնով մրցույթները չեն կայացել:</t>
  </si>
  <si>
    <t>մաքրող հարմարանքներ, թակարդներ (արևելյան պտղակեր)</t>
  </si>
  <si>
    <t>գյուղատնտեսական հողատեսքերում բուսասանիտարական մոնիթորինգի առավել ճշգրիտ և արդյունավետ իրականացում</t>
  </si>
  <si>
    <t>մաքրող հարմարանքներ, թակարդներ (խնձորի պտղակեր)</t>
  </si>
  <si>
    <t>մաքրող հարմարանքներ, թակարդներ (խաղողի ողկույզակեր)</t>
  </si>
  <si>
    <t xml:space="preserve"> Բուսաբուծության խթանում և բույսերի պաշտպանություն</t>
  </si>
  <si>
    <t xml:space="preserve"> Բուսասանիտարիայի  ծառայությունների, հողերի ագրոքիմիական հետազոտության և բերրիության բարձրացման միջոցառումների իրականացում</t>
  </si>
  <si>
    <t>Վնասակար օրգանիզմների հայտնաբերման նպատակով հետազոտված միավոր հեկտարի արժեք</t>
  </si>
  <si>
    <t>2024-2026 թթ-ին վնասակար օրգանիզմների հայտնաբերման նպատակով հետազոտվող միավոր հետարի արժեքը նախատեսվում է հաստատել 187 դրամ, ինչը հավասար է 2021 թ-ի արժեքին։ Մինչդեռ 2022 թ-ին այն պակաս է եղել 14,3%-ով, ինչն ուղիղ հակառակն է դեռև 2021 թ-ին ՀՀ կենտրոնական բանկի կողմից տրված կանխատեսմանը, որը 2021 թվականի համար միջին տարեկան պաշտոնական գնաճը կանխատեսել էր 6,8 % (finport.am/full_news.php?id=44489&amp;lang=1): Նախատեսված 187 դրամը երեք տարիների կտրվածքով հավասարազոր է տարեկան 4.7% գնաճին, ինչն էլ ներկայացված է նշված կանխատեսմամբ։</t>
  </si>
  <si>
    <t>Վնասակար օրգանիզմների հայտնաբերման նպատակով հետազոտված տարածքներ</t>
  </si>
  <si>
    <t>հեկտար</t>
  </si>
  <si>
    <t xml:space="preserve">«Բուսասանիտարիայի ծառայությունների մատուցում» ծրագրի շահառուներ են հանդիսանում գյուղացիական տնտեսությունները, ֆերմերները և գյուղատնտեսությամբ զբաղվող այլ ֆիզիկական և իրավաբանական անձինք։ Ծրագրի շրջանակներում իրականացվող միջոցառումների կարևորությունը՝ գյուղատնտեսության ոլորտում,  մասնավորապես հանդիսանում է  պտղատու ծառատեսակների, բանջար-բոստանային, հացահատիկային մշակաբույսերի հիվանդությունների դեմ ժամանակին և ագրոտեխնիկական կանոններին համապատասխան պայքարի կազմակերպումը, ինչպես նաև մկնանման կրծողների և մորեխների տարածվածության կանխումը։ 
Մասնագետների կողմից իրականացվող աշխատանքների շնորհիվ պտղատու այգիներինում, պայքարի ժամանակին կազմակերպումը հանգեցնում է թունաքիմիկատների կիրառության նվազեցմանը, պտուղ բանջարեղենի ապրանքային տեսքի ապահովմանը, բերքի մեջ թունաքիմիկատների մնացորդային քանակների նվազեցմանը, որպես արդյունք՝ պտուղ-բանջարեղենի արտահանման ընդլայնմանը։ Այս ամենի շնորհիվ 2021 թվականին արտահանվել է 186 850 տոննա պտուղ-բանջարեղեն Հայաստանի Հանրապետությունից։ Վերջին տարիներին ավելացել է պտղատու այգիների հիմնումը՝ 2018 թվականին 33 500 հեկտարից 2022 թվականին հասնելով 45 751 հեկտարի։ Նշանակալից է հատկապես ինտենսիվ այգիների հիմնումը վերջին տաիրներին, որը նույնպես հանդիասանում է կառավարության ծրագիր։ Ինտենսիվ այգիների  հիմնումը վերջին տարիներին, որը զգալի ավելացել է  և առանց խորհրդատվությունների,  պատշաճ պայքարի աշխատանքների անհնար կլինի լավ արդյունքների հասնելը։ ֆինանսավորման նվազումը էականորեն կանդրադառնա ծրագրի՝ մասնավորապես մարզային ագրոնոմների աշխատանքի վրա, որոնք առանց այն էլ ապահովված չեն բավարար աշխատանքային պայմաններով, չունեն տեղից-տեղ տեղափոխման տրանսպորտային միջոցներ։ Քանի որ Հայաստանի Հանրապետությունում   կան  իտալական մորեխներ որոնք բավականին լուրջ վնասում  են  գյուղատնտեսական մշակաբույսերին, վտանգա կայանում է նրանում, որ տվյալ տեսակի մորեխները կազմում են հոտեր ինչի արյունքում 90%-ով կոչնչավեն գյուղատնտեսական մշակաբույսերը։ Սպասվում է մարոկական մորեխի թափանցումը Հայաստանի Հանրապետություն քանի որ հարևան երկրներում՝ Վրաստան, Ադրբեջան, Իրան, Թուրքիա վնասատուն ակտիվ զարգացած է և զգալի վնաս է հասցնում գյուղատնտեսությանը, և ներթափանցման դեպքում պետք է լուրջ քայլեր ձեռնարկվի։ Հաջորդ վտանգավոր վնասատուն Մարմարիա մլուկն է,  որը նույնպես տարածված է հարևան պետություններում և կա վտանգ ներթափանցման վերաբերյալ։  
Միջոցառումների չիրականացման կամ թերի կատարման դեպքում կունենանք.
• ազգաբնակչության սննդի մեծածավալ  կորուստներ
• գյուղատնտեսկան նշանակության մշակաբույսերի շուրջ 70%-ի ոչնչացում
• գյուղատնտեսկան կենդանիների կերի բազայի էական նվազում 
• հողերի բերրիության մակարդակի անկում, դրանց դեգրադացում, անապտացման գործընթացների ակտիվացում
• արտահանման կրճատում՝ փոքր և միջին  բիզնեսի եկամուտների էական նվազում,  անմիջականոր կվտանգվեն ՀՀ կառավարության 2021 թվականի հունիսի 3-ի N 927-Լ, ինչպես նաև 2022 թվականի մարտի 3-ի N 281-Լ որոշումներով հատատված Հայաստանի Հանրապետությունում ինտենսիվ այգեգործության զարգացման, արդիական տեխնոլոգիաների ներդրման և ոչ ավանդական բարձրարժեք մշակաբույսերի արտադրության խթանման պետական աջակցության 2021-2023 թվականների ծրագրի, Հայաստանի Հանրապետության հողօգտագործողներին մատչելի գներով ազոտական, ֆոսֆորական և կալիումական պարարտանյութերի ձեռքբերման աջակցության ծրագրի հետագա ընթացքն ու արդյունավետությունը։                                                                                                                                                        </t>
  </si>
  <si>
    <t>Գյուղատնտեսական նշանակության հողերի ագրոքիմիական քարտեզների կազմման աշխատանքների և պարարտացման կիրառման գիտականորեն հիմնավորված երաշխավորագրերի տրամադրում համայնքներին</t>
  </si>
  <si>
    <t>համայնք</t>
  </si>
  <si>
    <t>Հանրապետությունում Ագրոքիմիական ծառայության ստեղծման պահից՝ 1963 – 2021թթ-ը, ինչպես բոլոր երկրներում, այնպես էլ Հայաստանում ագրոքիմիական հետազոտությունները կատարվել են գիտականորեն հիմնավորված մեթոդաբանությամբ, 5 տարին մեկ պարբերականությամբ, քանի որ հողում սննդատարրերը էական փոփոխությունների են ենթարկվում այդ ժամանակահատվածում: Յուրաքանչյու տարի հետզոտվել է 170 համայնք:
 2022թ.-ին ֆինանսավորման կրճատման պատճառով 170 հետազոտվող համայնքները դարձել են 85, որի արդյունքում խախտվել է ընդունված մեթոդաբանությունը, որը իր բացասական հետևանքները կունենա ինչպես հողերի բերրիության, այնպես էլ մշակաբույսերի բերքատվության վրա: Միևնույն ժամանակ կխախտվի Հայաստան ներկրվող պարարտանյութերի պահանջարկի հաշվարկը:</t>
  </si>
  <si>
    <t>Գյուղատնտեսական նշանակության հողերի ագրոքիմիական քարտեզների կազմման աշխատանքների և պարարտացման կիրառման գիտականորեն հիմնավորված երաշխավորագրերի տրամադրման 1 համայնքի ծախսը</t>
  </si>
  <si>
    <t>հազ. դրամ</t>
  </si>
  <si>
    <t>տարեկան 170 համայնքներում 30 ագրոնոմների կողմից իրականացվում են գյուղատնտեսական հողերի նմուշառման, քարտեզների, գիտական տեղեկագրերի բաշխման և համայնքներում խորհրդատվությունների անցկացման աշխատանքներ</t>
  </si>
  <si>
    <t>1059</t>
  </si>
  <si>
    <t>2005թ.</t>
  </si>
  <si>
    <t>Բուսաբուծության խթանում և բույսերի պաշտպանություն</t>
  </si>
  <si>
    <t>11003</t>
  </si>
  <si>
    <t>Սերմերի որակի ստուգում և պետական սորտափորձարկման միջոցառումներ</t>
  </si>
  <si>
    <t>Աշխատողների թվաքականի փոփոխություն</t>
  </si>
  <si>
    <t>Անձ</t>
  </si>
  <si>
    <t>Նոր բաժնի ստեղծում և Լոռու մարզում աշխատակցի ընդունում</t>
  </si>
  <si>
    <t xml:space="preserve"> Աշխատողների աշխատավարձի դրույքաչափի  փոփոխություն</t>
  </si>
  <si>
    <t>անգամ</t>
  </si>
  <si>
    <t>Շարունական ծախսերի փոփոխություն</t>
  </si>
  <si>
    <t>Դրամ</t>
  </si>
  <si>
    <t>Հաշվի առնելով գնաճը և նոր աշխատատեղերը</t>
  </si>
  <si>
    <t>Պայմանագրային ծառայությունների փոփոխություն</t>
  </si>
  <si>
    <t>Նյութական ծախսերի փոփոխություն</t>
  </si>
  <si>
    <t>Այլ ծախսերում փոփոխություն</t>
  </si>
  <si>
    <t>Որոշակի ծախսեր ,որոնք անհրաժեշտ են վարչական շենքի հարակից տարածքում ջերմոցային սորտափորձարկումների ՝ստուգիչ ցանքերի և դաշտային հետազոտությունների   կազմակերպման նպատակովր փոքրիկ  մակերես բարեկարգելու համար</t>
  </si>
  <si>
    <t>Համակարգչային և մասնագիտական համակարգչայինտեխնիկայի ձեռքբերում</t>
  </si>
  <si>
    <t>Բարոյապես և ֆիզիկապես մաշված համակարգչային տեխնիկային փոխարինում նորով և նորի ձեռքբերում մարզերում համապատասխան աշխատանքներ կատարելու համար</t>
  </si>
  <si>
    <t>Հարկային օրենսգիրք</t>
  </si>
  <si>
    <t xml:space="preserve"> Աշխատողների աշխատավարձ</t>
  </si>
  <si>
    <t>Պայմանագրային ծառայություններ</t>
  </si>
  <si>
    <t>Այլ ծախսեր</t>
  </si>
  <si>
    <t>Համակարգչային և մասնագիտական համակարգչային տեխնիկայի ձեռքբերում</t>
  </si>
  <si>
    <t>01․01․2024</t>
  </si>
  <si>
    <t>Գիտելիքահենք, նորարարական տնտեսությանը և փոքր ու միջին ձեռնարկատիրությանը աջակցություն</t>
  </si>
  <si>
    <t>31․12․2024</t>
  </si>
  <si>
    <t>ՓՄՁ-ի սուբյեկտներին աջակցության ծրագրերի համակարգում և կառավարում</t>
  </si>
  <si>
    <t>Փոքր և միջին ձեռնարկատիրության պետական աջակցության մասին ՀՀ օրենքը</t>
  </si>
  <si>
    <t>«Միասնական շուկայի ծրագիր»</t>
  </si>
  <si>
    <t>Հայաստանի Հանրապետությունը մասնակցել է COSME (2014-2021թթ․) ծրագրին 2016թ․ սկսած, որի արդյունքում գրանցել է դրական առաջընթաց և ձեռք է բերել բավականին արդյունավետ փորձ։ Հայկական կազմակերպությունները 2022 թվականին մասնակցել են «Ձեռնարկությունների Եվրոպական Ցանց» և «Էրասմուս երիտասարդ ձեռնարկությունների համար» ծրագրերին և շահել են։ Ծրագրերը իրականացնելու համար անհրաժեշտ է անդամակցել ԵՄ միասնական շուկայի «Ձեռնարկությունների, մասնավորապես ՓՄՁ-ների մրցունակության բարելավման և շուկաներին դրանց հասանելիությանն աջակցություն» ծրագրին, ինչի համար տարեկան հաշվարկվում է անդամավճար։</t>
  </si>
  <si>
    <t xml:space="preserve"> Վարկային երաշխավորության տրամադրում ձեռներեցությամբ զբաղվելու ցանկություն ունեցող գործազուրկ անձանց</t>
  </si>
  <si>
    <t xml:space="preserve">Ֆինանսական կազմակերպությունների կողմից գործազուրկ անձանց վարկի տրամադրումը դիտարկվում է ռիսկային, քանի որ վերջիններս չունեն կանոնավոր եկամուտներ հաստատող հիմքեր։ Նշյալը հիմք է հանդիսանում ֆինանսական կառույցների կողմից վերջիններիս վարկի տրամադրման մերժման կամ հավելյալ գրավադրման/երաշխավորի առկայության։ Այդ պատճառով շահառուների այս տեսակի համար անհրաժեշտ է կիսել ֆինանսական կառույցի ռիսկը (50% երաշխավորության տրամադրում)։ </t>
  </si>
  <si>
    <t>Վարկային երաշխավորության տրամադրում կին ձեռներեցներին</t>
  </si>
  <si>
    <t xml:space="preserve">Ներկայումս գնալով աճում է ձեռներեցությամբ զբաղվող կանանց թիվը, սակայն գործունեության մեջ ներդրման կարիք ունենալու դեպքում ֆինանսական կազմակերպությունները հաճախ մերժում են շահառուների այս տեսակի ֆինանսավորումի մի շարք պատճառներով, որոնցից առավել ակնհայտը գրավի առարկայի բացակայությունն է (մասնավորապես մարզաբնակ կանանց դեպքում)։ Այդ պատճառով շահառուների այս տեսակի համար անհրաժեշտ է կիսել ֆինանսական կառույցի ռիսկը (50% երաշխավորության տրամադրում)։  </t>
  </si>
  <si>
    <t xml:space="preserve">Վարկային երաշխավորության տրամադրում ձեռներեցությամբ զբաղվելու ցանկություն ունեցող միգրանտներին </t>
  </si>
  <si>
    <t xml:space="preserve">Ներկայիս աշխարհաքաղաքական փոփոխությունները Հայաստանը միգրանտների համար դարձրել են գրավիչ ուղղություն։ Վերջիններիս կողմից Հայաստանի Հանրապետության տարածքում ձեռնարկատիրական գործունեություն սկսելու դեպքում ֆինանսական կազմակերպությունները ռիսկային համարելով վերջիններիս վարկային միջոցների տրամադրումը՝ հաճախ մերժում են այս շահառուների ֆինանսավորումը, չնայած այն փաստին, որ միգրանտները ունեն նորարարական գաղափարներ և մեծ ներուժ ունեն Հայաստանում նոր աշխատատեղերի ստեղծման։ Այդ պատճառով շահառուների այս տեսակի համար անհրաժեշտ է կիսել ֆինանսական կառույցի ռիսկը (50% երաշխավորության տրամադրում)։  </t>
  </si>
  <si>
    <t>Վարկային երաշխավորության տրամադրում ձեռներեցությամբ զբաղվելու ցանկություն ունեցող տեղահանվածներին</t>
  </si>
  <si>
    <t xml:space="preserve">Ներկայիս աշխարհաքաղաքական իրավիճակը ստիպում է մի շարք երկրների քաղաքացիների իրենց կամքից անկախ լքել իրենց բնակավայրերը։ Շատ հաճախ տեղահանվածները՝ նոր երկրում ադապտացվելու համար ընտրում են ձեռնարկատիրական գործունեությամբ զբաղվելը։ Վերջիններիս կողմից Հայաստանի Հանրապետության տարածքում ձեռնարկատիրական գործունեություն սկսելու դեպքում ֆինանսական կազմակերպությունները ռիսկային համարելով վերջիններիս վարկային միջոցների տրամադրումը՝ հաճախ մերժում են այս շահառուների ֆինանսավորումը, չնայած այն փաստին, որ միգրանտները ունեն նորարարական գաղափարներ և մեծ ներուժ ունեն Հայաստանում նոր աշխատատեղերի ստեղծման։ Այդ պատճառով շահառուների այս տեսակի համար անհրաժեշտ է կիսել ֆինանսական կառույցի ռիսկը (50% երաշխավորության տրամադրում)։  </t>
  </si>
  <si>
    <t>Վարկային երաշխավորության տրամադրում նախորդ 2 տարիների համեմատ շրջանառության 30% աճ գրանցած ձեռնարկատերերին</t>
  </si>
  <si>
    <t>Նախորդ 2 տարիների համեմատ 30% աճ գրանցած կազմակերպություններին նախատեսվում է տրամադրել 80% պետական երաշխավորությամբ վարկային միջոցներ՝ հաշվի առնելով վերջիններիս տնտեսական ներուժը։</t>
  </si>
  <si>
    <t xml:space="preserve">Վարկային երաշխավորության տրամադրում մարզաբնակ ձեռներեցներին </t>
  </si>
  <si>
    <t xml:space="preserve">Կարևորելով տարածքային համաչափ զարգացումը և մարզերում առկա տնտեսական ներուժը օգատգործելու կարևորությունը՝ նախատեսվում է տարամդրել 50% պետական երաշխավորությամբ վարկային միջոցներ մարզաբնակ ձեռներեցներին, հաշվի առնելով այն փաստը, որ ֆինանսական կազմակերպությունների կողմից, մանավանդ սկսնակ (մինչև 3 տարի գործող) ձեռներեցներին վարկային միջոցների տրամադրումը դիտարկվում է ռիսկային՝ առաջացնելով հավելյալ գույքի գրավադրման անհրաժեշտությունը, ինչը ձեռներեցների կողմից ոչ հաճախ է հնարավոր լինում տրամադրել։ Այդ պատճառով շահառուների այս տեսակի համար անհրաժեշտ է կիսել ֆինանսական կառույցի ռիսկը (50% երաշխավորության տրամադրում)։ </t>
  </si>
  <si>
    <t xml:space="preserve">Վարկային երաշխավորության տրաամդրում 65 տարեկանից բարձր ձեռնարկատերերին </t>
  </si>
  <si>
    <t xml:space="preserve">Ֆինանսական կազմակերպությունների կողմից 65 տարեկանից բարձր՝ կենսաթոշակային տարիքում գտնվող ձեռներեցներին վարկի տրամադրումը դիտարկվում է ռիսկային, ինչը պատճառ է հանդիսանում այս տարիքի մարդկանց կողմից վարկի ստացման դժվարությունների, չնայած այն փաստին, որ կենսաթոշակային տարիքում գտնվող ձեռներեցները ունեն բիզնեսի վարման փորձ։ Այդ պատճառով շահառուների այս տեսակի համար անհրաժեշտ է կիսել ֆինանսական կառույցի ռիսկը (50% երաշխավորության տրամադրում)։ </t>
  </si>
  <si>
    <t>Պետություն մասնավոր երկխոսության շրջանակներում աշխատաժողով</t>
  </si>
  <si>
    <t>Կառավարության 2022 թվականի 1902-Լ որոշման Հավելված 1-ի Էկոնոմիկայի նախարարության բաժնի 4.3 կետով նախատեսվում է պետություն մասնավոր երկխոսության շրջանակներում կազմակերպել աշխատաժողով։</t>
  </si>
  <si>
    <t>ՓՄՁ սուբյեկտներին գործարար ուսուցողական աջակցություն (կարողությունների զարգացում)</t>
  </si>
  <si>
    <t xml:space="preserve">ՓՄՁ սուբյեկտներին ֆինանսական և ներդրումային աջակցություն </t>
  </si>
  <si>
    <t>Տեղական արտադրանքի արտահանմանն աջակցություն և ՓՄՁ-ի սուբյեկտների միջազգային համագործակցության ընդլայնման ապահովում</t>
  </si>
  <si>
    <t>Միջազգային և օտարերկրյա դոնոր կազմակերպությունների հետ ՓՄՁ զարգացման համատեղ (համաֆինանսավորման սկզբունքով) ծրագրերի մշակում և իրականացում</t>
  </si>
  <si>
    <t>Կին ձեռներեցների զարգացմանն ուղղված ծրագրերի մշակում և իրականացում</t>
  </si>
  <si>
    <t>Երիտասարդ ձեռներեցների զարգացմանն ուղղված ծրագրերի մշակում և իրականացում</t>
  </si>
  <si>
    <t>Վարկային երաշխավորության տրամադրում ձեռներեցությամբ զբաղվելու ցանկություն ունեցող գործազուրկ անձանց</t>
  </si>
  <si>
    <t xml:space="preserve">Վարկային երաշխավորության տրամադրում ձեռներեցությամբ զբաղվելու ցանկություն ունեցող միգրանտների </t>
  </si>
  <si>
    <t>Վարկային երաշխավորության տրամադրում ձեռներեցությամբ զբաղվելու ցանկություն ունեցող տեղահանվածների</t>
  </si>
  <si>
    <t xml:space="preserve">վարկային երաշխավորության տրամադրում մարզաբնակ ձեռներեցներին </t>
  </si>
  <si>
    <t>Վարկային երաշխավորության տրաամդրում 65 տարեկանից բարձր ձեռնարկատերերին</t>
  </si>
  <si>
    <t>04․08․2022</t>
  </si>
  <si>
    <t>31․12․2025</t>
  </si>
  <si>
    <t>Բարձր որակավորում ունեցող մասնագետների ներգրավման նպատակով տնտեսավարողներին աջակցություն</t>
  </si>
  <si>
    <t>2022 թվականի օգոստոսի 4-ի 1224-Լ որոշում</t>
  </si>
  <si>
    <t>2023թ. բազային տարի  (սպասողական)</t>
  </si>
  <si>
    <t>Տնտեսավարողների կողմից ներգրավված բարձր որակավորում ունեցող մասնագետների թիվ</t>
  </si>
  <si>
    <t>մարդ</t>
  </si>
  <si>
    <t>Բարձր որակավորում ունեցող մասնագետ (20% փոխհատուցում)</t>
  </si>
  <si>
    <t>Դոկտորական աստիճան ունեցող Բարձր որակավորում ունեցող մասնագետ</t>
  </si>
  <si>
    <t>ԲՈՒՀ-երում դասավանդող բարձր որակավորում ունեցող մասնագետ</t>
  </si>
  <si>
    <t>Վճարվող ԱԱՀ</t>
  </si>
  <si>
    <t>27․01․2022</t>
  </si>
  <si>
    <t>31․12․2023</t>
  </si>
  <si>
    <t>Արտադրական կարողությունների արդիականացման միջոցառում</t>
  </si>
  <si>
    <t>2020 թվականի մարտի 26-ի 355-Լ որոշում</t>
  </si>
  <si>
    <t>Շահառուներ</t>
  </si>
  <si>
    <t>Շահառուների աճը պայմանավորված է Միջոցառման վերաբերյալ հանրային իրազեկվածության բարձրացմամբ և նպատակային ոլորտների ընդլայնմամբ։</t>
  </si>
  <si>
    <t>Դրամով լիզինգի սուբսիդավորում (10%)</t>
  </si>
  <si>
    <t>Արտարժույթով լիզինգի սուբսիդավորում (8%)</t>
  </si>
  <si>
    <t>Դրամով վարկի սուբսիդավորում (8%)</t>
  </si>
  <si>
    <t>Արտարժույթով վարկի սուբսիդավորում (6%)</t>
  </si>
  <si>
    <t>Կորոնավիրուսի տնտեսական հետևանքների չեզոքացման 1-ին միջոցառման շրջանակներում տրամադրված վարկերի տոկոսադրույքի սուբսիդավորում</t>
  </si>
  <si>
    <t>27.01.2022</t>
  </si>
  <si>
    <t>31.12.2023</t>
  </si>
  <si>
    <t>Զբոսաշրջության զարգացման ծրագիր</t>
  </si>
  <si>
    <t>Աջակցություն զբոսաշրջության զարգացմանը</t>
  </si>
  <si>
    <t xml:space="preserve">Մասնակցություն միջազգային ցուցահանդեսներին  </t>
  </si>
  <si>
    <t>Միջազգային ցուցահանդեսները նպաստում են նոր կապերի և համագործակցությունների ձեռք բերմանը զբոսաշրջային օպերատորների  համար, ինչպես նաև երկրի ճանաչելության բարձրացմանը մասնակցիների և այցելուների շրջանակներում, ինչն էլ իր հերթին մեծացնում է զբոսաշրջային հոսքերը:</t>
  </si>
  <si>
    <t>10/50</t>
  </si>
  <si>
    <t>Թիրախային երկրներից կազմակերպված ճանաչողական այցերը նպաստում են Հայաստանի ճանաչելիության բարձրացմանը ինչպես b2b այնպես էլ b2c սեգմենտի համար։ Անցյալում իրագործվել են հիմնականում ՌԴ շուկայից հայտնի հաղորդաշարերի նկարահանող խմբերի և զբոսաշրջային պարբերականների ներկայացուցիչների այցեր, ինչի արդյունքում նկարահանվել են 5 զբոսաշրջային հաղորդաշարեր և գրվել են 15-ից ավել հոդվածներ վերոհիշյալ օնլայն և օֆլայն  պարբերականներում։ Այցերի աճը կնպաստի թրիրախային մյուս երկրներում ևս հետաքրքրության աճի և Հայաստանի ճանաչելիության բարձրացման, ինչը Հայաստան կբերի նոր զբոսաշրջային հոսքեր։</t>
  </si>
  <si>
    <t>Հայաստանի մասին հոդվածների ստեղծում և առաջմղում օնլայն և օֆլայն զբոսաշրջային հեղինակավոր պարբերականներում</t>
  </si>
  <si>
    <t>Թիրախային երկրների օնլայն և օֆլայն պարբերականներում Հայաստանի մասին հոդվածների տպագրումը հանգեցնում է այդ պարբերականների ընթերցողների շրջանակներում երկրի իմիջի ստեղծմանը՝ որպես գրավիչ զբոսաշրջային ուղղություն և Հայաստան այցելությունը նրանց առաջիկա ճանապարհորդությունների մեջ ծրագրավորմանը</t>
  </si>
  <si>
    <t>Ծախսային մակարդակի վրա հիմնական ազդեցություն են ունեցել հոդվածների հրապարակման հարթակների և պարբերականներում ստեղծման և տպագրվելու ծառայությունների արժեքները, որոնց մեջ ներառված են Lonely Planet 22.000.000, Natioanl Geographic 8.000.000, Business Insider 8.000.000, Ural airlines 4.000.000, Utair 3.500.000, Norwind 4.000.000, Conde Nast 20.000.000, World Travel Guide 20.000.000, Travel+leasure 20.000.000, 34travel 3.000.000 ամսագրերի կոմերցիոն առաջարկները</t>
  </si>
  <si>
    <t xml:space="preserve">Գովազդատեղեկատվական տպագիր նյութերն օգտագործվում են  միջազգային և տեղական ցուցահանդեսների, ռոուդ շոուների և այլ միջոցառումների ժամանակ։ Ժամանակակից աշխարհում մարդիկ դեռևս սիրում են օգտագործել տպագիր նյութեր,դրանց միջոցով տեղեկանալ երկրի տեսարժան վայրերին, զբոսաշրջային հիմնական ուղղություններին և այլ կարևոր տեղեկատվության՝ ճամփորդությունը կազմակերպելուց առաջ։ </t>
  </si>
  <si>
    <t>Թիրախային երկրներում ռոուդ շոուների կազմակերպման հետ կապված ծառայությունների ձեռքբերում</t>
  </si>
  <si>
    <t>Ռոուդ շոուների կազմակերպումը հնարավորություն է տալիս թիրախային երկրներում ներկայացնելու Հայաստանը որպես զբոսաշրջային գրավիչ ուղղություն, կապեր հաստատելու տեղական զբոսաշրջային ընկերություների ներկայացուցիչների հետ հետագա համագործակցության համար, ինչի արդյունքում բարձրանում է երկրի ճանաչելիությունը և ստեղծվում են զբոսաշրջային առաջարկներ տեղական օպերատոների կողմից դեպի Հայաստան։</t>
  </si>
  <si>
    <t>Ներքին շուկայում մարքեթինգային միջոցառումներն ուղղված են ներքին զբոսաշրջության զարգացմանը, մարզային նոր պրոդուկտների հանրայնացմանը, դրանց առաջխաղացմանը և ներքին զբոսաշրջիկի համար Հայաստանում նոր հետաքրքրությունների բացահայտմանը։ Ծախսային մակարդակի վրա հիմնական ազդեցություն են ունենում  նախորդիվ կազմակերպված ներքին զբոսաշրջային ցուցահանդեսի ծախսերը, նախատեսվում է այն անցկացնել ավելի լայնամասշտաբ և մարքեթինգային արշավների շնորվիվ ներգրավել ավելի շատ մասնակիցներ։</t>
  </si>
  <si>
    <t>Ժամանակակից աշխարհում մարքեթինգային առաջմղման գործընթացները ակտիվորեն իրականացվում են օնլայն և օֆլայն կապուղիների միջոցով։ Նշված սոցիալական հարթակները հանդիսանում էն ամենատարածվածն ու կիրառելին թիրախային շուկաների կողմից։ Արդյունքում նմանատիպ մարքեթինգային գործունեությունը նպաստում է հասանելիության և ներգրավվածության բարձրացմանը, ինչը կհանգեցնի Հայաստանի մասին տեղեկատվության լայն տարածմանը և զբոսաշրջիկների թվի  ավելացմանը։ Ոչ գնային գործոնի ազդեցությունը պայմանավորված է 7 հարթակի փոխարեն ընդգրկված է ևս հինգ հարթակ:</t>
  </si>
  <si>
    <t xml:space="preserve">Զբոսաշրջային արդյունքի  դիվերսիֆիկացմանն ուղղված Հայաստանում  փառատոների կազմակերպման հետ կապված ծառայությունների ձեռքբերում </t>
  </si>
  <si>
    <t>Միջոցառման իրականացումը կնպաստի դեպի ՀՀ մարզեր ներքին և ներգնա  զբոսաշրջիկների հոսքերի ակտիվացմանը, հայկական զբոսաշրջային արդյունքի ճանաչելիության բարձրացմանը, նոր ուղիների բացահայտմանը:</t>
  </si>
  <si>
    <t xml:space="preserve">Միջոցառման իրականացումը կնպաստի զբոսաշրջության ոլորտի ծառայությունների որակի բարելավմանը, մարդկային ռեսուրսների զարգացմանը՝ արկածային, հյուրընկալության և զբոսաշրջության ոլորտի մասնագետների վերապատրաստմանը կաջակցի նաև նոր  աշխատատեղերի ստեղծմանը։ </t>
  </si>
  <si>
    <t xml:space="preserve">Միջոցառման իրականացումը նպատակ ունի խթանելու ՀՀ-ում DMO-ների (զբոսաշրջային այցելավայրերի կառավարման կազմակերպություն) ստեղծմանը և շահագործմանը՝ տվյալ տարածաշրջանի զբոսաշրջային ռեսուրսների արդյունավետ համակարգման և կառավարման, նոր զբոսաշրջային պրոդուկտների մշակման, զբոսաշրջային ծառայությունների որակի բարելավման, տարածաշրջանի առաջխաղացման և խթանման միջոցով, ինչը  կնպաստի մասնավոր-պետական-դոնոր կառույցների միջև համագործակցության բալերավմանը, դեպի ՀՀ մարզեր ներքին և ներգնա  զբոսաշրջիկների հոսքերի ակտիվացմանը, բազմազան զբոսաշրջային առաջարկի ձևավորմանը, տարածաշրջանի զբոսաշրջային առաջարկի ճանաչելիության բարձրացմանը։ </t>
  </si>
  <si>
    <t xml:space="preserve">Միջոցառման իրականացումը նպատակ ունի խթանելու ՀՀ բոլոր  մարզերում զբոսաշրջային տեղեկատվական կենտրոնների միասնական համակարգի ձևավորմանը՝  տեղեկատվական և մասնագիտական տեղեկատվության տրամադրման, գովազդատեղեկատվական նյութերի տարածման  միջոցով, ինչը  կնպաստի հետագայում դեպի ՀՀ մարզեր ներքին և ներգնա  զբոսաշրջիկների հոսքերի ակտիվացմանը , հայկական զբոսաշրջային արդյունքի ճանաչելիության բարձրացմանը, մարդկային ռեսուրսների զարգացմանը           </t>
  </si>
  <si>
    <t xml:space="preserve">Միջազգային համագործակցության շրջանակներում միջոցառումների կազմակերպման հետ կապված ծառայությունների ձեռքբերում </t>
  </si>
  <si>
    <t>Հաշվի առնելով նախորդ տարիներին նմանատիպ միջոցառումների կազմակերպման արդյունքում գրանցված հաջողությունները, ինչպես նաև ներկայումս համավարակի և պատերազմի արդյունքում երկրի՝ զբոսաշրջության բնագավառում ակտիվության բարձրացման, երկկողմ և բազմակողմ համագործակցային կապերի վերահաստատման ու զարգացման, երկրի՝ որպես զբոսաշրջության համար բարենպաստ և անվտանգ ուղղության միջազգային շուկայում ճիշտ դիրքավորման անհրաժեշտությունը՝ կարևորվում է նման միջոցառումների կազմակերպումը և Հայաստանի զբոսաշրջային ներուժի ներկայացումը, ինչն իր հերթին կնպաստի հետագայում համատեղ ծրագրերի իրականացմանը, երկրի ճանաչելիության բարձրացմանը, ներդրումային հնարավորությունների ստեղծմանն ու զբոսաշրջային այցելությունների աճին՝ նպաստելով նաև ոչ ուղղակիորեն թիրախային շուկաների հետ ավիացիոն նոր հնարավորությունների ստեղծմանը, ենթակառուցվածքների զարգացմանն ու եկամուտների ավելացմանը։</t>
  </si>
  <si>
    <t xml:space="preserve">Զբոսաշրջության ոլորտի վիճակագրական, տեղեկատվական համակարգի բարելավման և սպասարկման հետ կապված ծառայությունների ձեռքբերում </t>
  </si>
  <si>
    <t xml:space="preserve">Միջոցառման իրականացումը կնպաստի զբոսաշրջութան վիճակագրության բարելավմանը՝ Հայաստան ներգնա և արտագնա զբոսաշրջային այցելությունների,  այդ թվում ըստ քաղաքացիության, աշխարհագրական բաշխվածության, սեռի և տարիքի,  տևողության և կրկնվողականության,  ճշգրիտ և հավաստի տվյալների հավաքագրմանը, ինչպես նաև հավաքագրված տվյալների հիման վրա ոլորտային վերլուծությունների և հետազոտութունների իրականացմանը։   
</t>
  </si>
  <si>
    <t>Միջազգային և թիրախային  գործընկերների /ավիաընկերությունների/ հետ համագործակցության շրջանակներում մարքեթինգային  ծառայությունների ձեռքբերում</t>
  </si>
  <si>
    <t xml:space="preserve">Միջազգային և թիրախային ավիաընկերությունների (Luftansa, AirFrance, FlyDubai և այլն) հետ համագործակցության շրջանակներում մարքեթինգային  ծառայությունների ձեռքբերումը հնարավորություն է տալիս   Հայաստանը որպես զբոսաշրջային գրավիչ ուղղություն ներկայացնելու համար, ինչի արդյունքում բարձրանում է երկրի ճանաչելիությունը, ստեղծվում են զբոսաշրջային առաջարկներ միջազգաՄիջազգային և թիրախային ավիաընկերությունների (Luftansa, AirFrance, FlyDubai և այլն) հետ համագործակցության շրջանակներում մարքեթինգային  ծառայությունների ձեռքբերումը հնարավորություն է տալիս   Հայաստանը որպես զբոսաշրջային գրավիչ ուղղություն ներկայացնելու համար, ինչի արդյունքում բարձրանում է երկրի ճանաչելիությունը, ստեղծվում են զբոսաշրջային առաջարկներ միջազգային օպերատորների կողմից դեպի Հայաստան ինչը հանգեցնում է Հայաստանի մասին տեղեկատվության լայն տարածմանը և զբոսաշրջիկների թվի  ավելացմանը։ </t>
  </si>
  <si>
    <t>Աջակցություն զբոսաշրջային բիզնես նախաձեռնություններին</t>
  </si>
  <si>
    <t>զբոսաշրջային բիզնես նախաձեռնություններին աջակցությունը կնպաստի զբոսաշրջության ոլորտում առկա  խնդիրների լուծմանը, ինչպես նաև կօժանդակի Հայաստանի զբոսաշրջային արդյունքի դիվերսիֆիկացմանը։</t>
  </si>
  <si>
    <t xml:space="preserve"> Armenia.travel վեբ - կայքի սպասարկում և  կառավարում, թվային առցանց գործիքների ձեռքբերում, ամիս </t>
  </si>
  <si>
    <t>Կայքի անխափան գործունեություն, ինչի արդյունքում Հայաստանի որպես բարենպաստ զբոսաշրջային երկրի նկարագրի տարածում,Հայաստանի զբոսաշրջային արդյունքի վերաբերյալ գրագետ տեղեկատվության հասանելիթյուն տարբեր լեզուներով</t>
  </si>
  <si>
    <t xml:space="preserve">Travelinsights հարթակում նոր ալգորիտմի ստեղծում և տարեկան սպասարկում </t>
  </si>
  <si>
    <t>Իրականացվում է նպաստելու համար ոլորտի զարգացմանը։ Ուղղված է զբոսաշրջիկների գոհունակության բարձրացման, Հայաստանում նրանց շարժի-հետագծի պատկերման տվյալների ստացման հավաքագրմանը։Tripadvisor.com, Facebook.com և Booking.com հարթակներում զբոսաշրջիկների կարծիքների ու արհեստական բանականության՝ առցանց գործիքի միջոցով իրական ժամանակում հավաքագրված, վերլուծված ու վիզուալիզացված տվյալների քանակ, նաև բջջային օպերատորներից ստացվող տվյալների քանակ</t>
  </si>
  <si>
    <t>Տեքստքյին բովանդակության ստեղծում</t>
  </si>
  <si>
    <t>Armenia.travel վեբկայքի, կայքի բլոգի ինչպես նաև կայքի էջերի համար տեքստային բովանդակության ստեղծում անգլերեն լեզվով։ Հայաստանի զբոսաշրջային առաջարկը ներկայացնող գրքույկի ձևավորում։</t>
  </si>
  <si>
    <t>Զբոսաշրջության ոլորտին առընչվող միջոցառումների լուսաբանում, տարածում</t>
  </si>
  <si>
    <t>Զբոսաշրջության ոլորտի միջոցառումների վերաբերյալ տեղեկատվության հանրայնացում, Հայաստանի՝ որպես  գրավիչ և ճանաչելի ուղղության ներկայացում միջազգային շուկայում, տեղեկատվության հասանելիությում</t>
  </si>
  <si>
    <t>Մասնակցություն միջազգային ցուցահանդեսներին</t>
  </si>
  <si>
    <t xml:space="preserve"> Միջազգային և թիրախային  գործընկերների /ավիաընկերությունների/ հետ համագործակցության շրջանակներում մարքեթինգային  ծառայությունների ձեռքբերում</t>
  </si>
  <si>
    <t>*բազային տարին՝ 2023 թվականն  է</t>
  </si>
  <si>
    <t>2018թ․</t>
  </si>
  <si>
    <t xml:space="preserve">Գյուղատնտեսության արդիականացման ծրագիր 
</t>
  </si>
  <si>
    <t>2025թ․</t>
  </si>
  <si>
    <t>Ð³Û³ëï³ÝÇ Ð³Ýñ³å»ïáõÃÛ³Ý ·ÛáõÕ³ïÝï»ëáõÃÛáõÝáõÙ Ï³ñÏï³å³ßïå³Ý ó³Ýó»ñÇ Ý»ñ¹ñÙ³Ý Ñ³Ù³ñ ïñ³Ù³¹ñíáÕ í³ñÏ»ñÇ ïáÏáë³í×³ñÝ»ñÇ ëáõµëÇ¹³íáñáõÙ</t>
  </si>
  <si>
    <t xml:space="preserve">Ծրագրի շրջանակում  ֆիզիկական և իրավաբանական անձանց 12 տոկոսով տրամադրված վարկերի տոկոսադրույքի մինչև 10, իսկ գյուղատնտեսական կոոպերատիվների և ՀՀ կառավարության 2014 թվականի դեկտեմբերի 18-ի N 1444-Ն որոշմամբ հաստատված սոցիալական աջակցություն ստացող սահմանամերձ բնակավայրերի տարածքներում գործունեություն իրականացնող տնտեսավարողների համար մինչև 14 տոկոսային կետի սուբսիդավորում։ </t>
  </si>
  <si>
    <t>ՀՀ կառավարության 2019 թվականի փետրվարի 8-ի N 65-Ա որոշման հավելված 5.10 բաժին և  ՀՀ կառավարության 2019 թվականի  ապրիլի 4-ի N 362-Լ որոշում</t>
  </si>
  <si>
    <t>Ծրագրի շրջանակում 2020 թվականի մարտի 26-ից մինչև դեկտեմբերի 31-ը ՀՀ ագրոպարենային ոլորտում զբաղված ֆիզիկական և իրավաբանական անձանց 13-14 տոկոսով տրամադրված վարկերի տոկոսադրույքի 13-14 տոկոսային կետի սուբսիդավորում։</t>
  </si>
  <si>
    <t>ՀՀ կառավարության 26.03.2020թ.        
 N 356– Լ որոշում</t>
  </si>
  <si>
    <t>Ծրագրի շրջանակում 2021 թվականի փետրվարի 11-ից մինչև դեկտեմբերի 31-ը  ֆիզիկական և իրավաբանական անձանց մինչև 14 տոկոսով տրամադրված վարկերի տոկոսադրույքի ամբողջական  սուբսիդավորում։</t>
  </si>
  <si>
    <t>ՀՀ կառավարության 11.02.2021թ.          
 N 175– Լ որոշում</t>
  </si>
  <si>
    <t>Սուբսիդավորման ենթակա այգետարածքներում տեղադրված կարկտապաշտպան ցանցերի մակերես</t>
  </si>
  <si>
    <t>հա</t>
  </si>
  <si>
    <t>ՀՀ կառավարության 2019 թվականի  ապրիլի 4-ի N 362-Լ որոշում</t>
  </si>
  <si>
    <t>2022 թվականից նոր սուբսիդավորվող վարկերի տրամադրում չի նախատեսվում</t>
  </si>
  <si>
    <t>2022թ․</t>
  </si>
  <si>
    <t>2030թ․</t>
  </si>
  <si>
    <t>Ð³Û³ëï³ÝÇ Ð³Ýñ³å»ïáõÃÛáõÝáõÙ ÇÝï»ÝëÇí ³Û·»·áñÍáõÃÛ³Ý ½³ñ·³óÙ³Ý, ³ñ¹Ç³Ï³Ý ï»ËÝáÉá·Ç³Ý»ñÇ Ý»ñ¹ñÙ³Ý ¨ áã ³í³Ý¹³Ï³Ý µ³ñÓñ³ñÅ»ù Ùß³Ï³µáõÛë»ñÇ ³ñï³¹ñáõÃÛ³Ý ËÃ³ÝÙ³Ý Ýå³ï³Ïáí ëáõµëÇ¹³íáñáõÙ</t>
  </si>
  <si>
    <t>Ծրագրի շրջանակում  ֆիզիկական և իրավաբանական անձանց վարկը տրամադրվի 5% տոկոսադրույքով, առանց այգեհիմնման ոռոգման արդիական համակարգերի ներդրման կամ ջրավազանների կառուցման կամ ընդլայնման համար՝ 2% տոկոսադրույքով, իսկ Հայաստանի Հանրապետության կառավարության 2014 թվականի դեկտեմբերի 18-ի N 1444-Ն որոշմամբ հաստատված ցանկում ընդգրկված սոցիալական աջակցություն ստացող սահմանամերձ համայնքների բնակավայրերի տնտեսավարողներին, գյուղատնտեսական կոոպերատիվներին, զինվորական ծառայության պարտականությունների կատարման ժամանակ մարտական հերթապահության կամ գործողությունների իրականացման արդյունքում հաշմանդամ դարձած քաղաքացիներին, գյուղատնտեսությունում տնտեսավարող երիտասարդներին (18-35 տարեկանը չլրացած ֆիզիկական անձանց (վարկային պայմանագիրն ուժի մեջ մտնելու պահին), այգեհիմնման և (կամ) ոռոգման արդիական համակարգերի ներդրման դեպքում նաև գերնորմատիվային ջրապահանջարկ ունեցող հողատարածքներում (գերնորմատիվային ջրապահանջարկ ունեցող հողատարածքներով համայնքների ցանկն ընդգրկված է Հայաստանի Հանրապետության տարածքային կառավարման նախարարի 2007 թվականի ապրիլի 2–ի N 18-Ա և Հայաստանի Հանրապետության գյուղատնտեսության նախարարի 2007 թվականի ապրիլի 2–ի N 77-Ա համատեղ հրամանով հաստատված «Գյուղատնտեսական մշակաբույսերի ոռոգման նորմաներն ու ռեժիմները Հայաստանի Հանրապետության ոռոգելի հողատարածքների համար» ձեռնարկում) ներդրողներին՝ 0% տոկոսադրույքով.</t>
  </si>
  <si>
    <t>ՀՀ կառավարության 2021 թվականի օգոստոսի 18-ի N 1363-Ա որոշմամբ հաստատված «Հայաստանի Հանրապետության կառավարության 2021-2026 թվականների» ծրագիր (2.4. Գյուղատնտեսություն բաժին), 2019 թվականի դեկտեմբերի 19-ի N 1886-Լ որոշմամբ հաստատված  Հայաստանի Հանրապետության գյուղատնտեսության ոլորտի տնտեսական զարգացումն ապահովող հիմնական ուղղությունների 2020-2030 թվականների ռազմավարություն (26․1 կետի 6-րդ ենթակետ) և ՀՀ կառավարության 2021 թվականի հունիսի 3-ի N 927-Լ որոշում</t>
  </si>
  <si>
    <t>Ìñ³·ñáí ÑÇÙÝí³Í Ýáñ ÇÝï»ÝëÇí åïÕ³ïáõ ³Û·ÇÝ»ñ, հա</t>
  </si>
  <si>
    <t>ՀՀ կառավարության 2022 թվականի օգոստոսի 11-ի N 1260-Լ որոշման համաձայն 2023 թվականի ինտենսիվ այգի հիմնելու նպատակով վարկի տոկոսադրույքի սուբսիդավորումը կկազմի 9% տոկոսադրույք</t>
  </si>
  <si>
    <t xml:space="preserve"> Ìñ³·ñÇ ßñç³Ý³ÏÝ»ñáõÙ ï»Õ³Ï³Ûí³Í Ï³ñÏï³å³ßïå³Ý ó³Ýó³ÛÇÝ Ñ³Ù³Ï³ñ·»ñ, Ñ³</t>
  </si>
  <si>
    <t>Ìñ³·ñի շրջանակներում հիմնվող µ³ñÓñ³ñÅ»ù Ùß³Ï³µáõÛë»ñÇ ó³Ýù³ï³ñ³ÍáõÃÛáõÝÝ»ñ, Ñա</t>
  </si>
  <si>
    <t>Ծրագրի շրջանակներում ոéá·Ù³Ý ³ñ¹Ç³Ï³Ý Ñ³Ù³Ï³ñ·»ñáí Ý»ñ¹ñíող ï³ñ³ÍùÝ»ñ, Ñ³</t>
  </si>
  <si>
    <t>2026թ․</t>
  </si>
  <si>
    <t>Ð³Û³ëï³ÝÇ Ð³Ýñ³å»ïáõÃÛáõÝáõÙ Ë³ÕáÕÇ, Å³Ù³Ý³Ï³ÏÇó ï»ËÝáÉá·Ç³Ý»ñáí Ùß³ÏíáÕ ÇÝï»ÝëÇí åïÕ³ïáõ ³Û·ÇÝ»ñÇ ¨ Ñ³ï³åïÕ³ÝáóÝ»ñÇ ÑÇÙÝÙ³Ý Ñ³Ù³ñ å»ï³Ï³Ý ³ç³ÏóáõÃÛáõÝ</t>
  </si>
  <si>
    <t>ՀՀ կառավարության 2019 թվականի փետրվարի 8-ի N 65-Ա որոշման հավելված 5.10 բաժին  և ՀՀ կառավարության 2019 թվականի  մարտի 2-ի N 361-Լ որոշում</t>
  </si>
  <si>
    <t>Սուբսիդավորման ենթակա այգետարածքների մակերես</t>
  </si>
  <si>
    <t>ՀՀ կառավարության 2019 թվականի  մարտի 2-ի N 361-Լ որոշում</t>
  </si>
  <si>
    <t xml:space="preserve">Գյուղատնտեսության խթանման ծրագիր </t>
  </si>
  <si>
    <t xml:space="preserve"> Հայաստանի Հանրապետությունում գյուղատնտեսական նշանակության հողերի միավորմանը (կոնսոլիդացիային) աջակցություն </t>
  </si>
  <si>
    <t>ՀՀ կառավարության կողմից հաստատված ծրագրի  շրջանակներում յուրաքանչուր մոդելի ջերմատան համար քառակուսի մետրի հաշվով սահմանված գումարի չափով փոխհատուցում:</t>
  </si>
  <si>
    <t>ՀՀ կառավարության՝ 04.08.2022թ.-ի, թիվ 1220-Լ որոշում</t>
  </si>
  <si>
    <t>Ծրագրի շրջանակներում միավորված և շրջանառության մեջ ներառված գյուղատնտեսական նշանակության հողեր</t>
  </si>
  <si>
    <t>Մակերեսային  և խորքային քարերի հավաքում քարհավաք մեքենաներով և կուտակում:</t>
  </si>
  <si>
    <t>Հավաքված քարերի տեղափոխում:</t>
  </si>
  <si>
    <t>Տարածքի հարթեցում գրեյդերով:</t>
  </si>
  <si>
    <t>Տարածքի հողի անալիզ, մեխանիկական կազմի և հզորության որոշում։</t>
  </si>
  <si>
    <t>Գոմաղբի, թռչնաղբի, տորֆի և զանազան կոմպոստների կիրառում։</t>
  </si>
  <si>
    <t>Խորը վար տրակտորային գութաններով 30-35 սմ:</t>
  </si>
  <si>
    <t>Հողի նախապատրաստական աշխատանքներ` չիզել փխրեցում մինչև 1 մ խորությամբ:</t>
  </si>
  <si>
    <t>Ոռոգման նպատակով ջրավազանի կառուցում</t>
  </si>
  <si>
    <t xml:space="preserve"> Գյուղատնտեսության արդիականացման ծրագիր</t>
  </si>
  <si>
    <t>Հայաստանի Հանրապետությունում ինտենսիվ այգեգործության զարգացման նպատակով ծախսերի փոխհատուցում</t>
  </si>
  <si>
    <t>Փոխհատուցման տոկոսը</t>
  </si>
  <si>
    <t>հիմնված նոր ինտենսիվ պտղատու այգիներ /50 տոկոսով փոխհատուցվող/</t>
  </si>
  <si>
    <t>հիմնված նոր ինտենսիվ պտղատու այգիներ /30 տոկոսով փոխհատուցվող/</t>
  </si>
  <si>
    <t xml:space="preserve">Ոռոգման արդիական համակարգերով ներդրված տարածքներ, հեկտար </t>
  </si>
  <si>
    <t>Այլ ընթացիկ դրամաշնորհ/այգի/</t>
  </si>
  <si>
    <t>Այլ ընթացիկ դրամաշնորհ/ոռոգում/</t>
  </si>
  <si>
    <t>Այլ նպաստներ բյուջեից /այգի/</t>
  </si>
  <si>
    <t>Այլ նպաստներ բյուջեից /այգի 30 տոկոս փոխհատուցվող/</t>
  </si>
  <si>
    <t>Այլ նպաստներ բյուջեից /ոռոգում/</t>
  </si>
  <si>
    <t>Հայաստանի Հանրապետությունում խաղողի, ժամանակակից տեխնոլոգիաներով մշակվող ինտենսիվ պտղատու այգիների և հատապտղանոցների հիմնման համար պետական աջակցություն</t>
  </si>
  <si>
    <t>ՀՀ գյուղատնտեսական տնտեսավարողներ՛ ընտրված համաձայն՛  ՀՀ կառավարության 29.03.2019թ. թիվ 361-Լ որոշում</t>
  </si>
  <si>
    <t>Հիմնված նոր ինտենսիվ պտղատու այգիներ</t>
  </si>
  <si>
    <t>Այլ ընթացիկ դրամաշնորհ</t>
  </si>
  <si>
    <t>Այլ նպաստներ բյուջեից</t>
  </si>
  <si>
    <t>Փոքր և միջին «Խելացի» անասնաշենքերի կառուցման կամ վերակառուցման և դրանց տեխնոլոգիական ապահովմանն աջակցություն</t>
  </si>
  <si>
    <t>ՀՀ կառավարության 2019 թվականի ապրիլի 4-ի N 369-Լ որոշում</t>
  </si>
  <si>
    <t xml:space="preserve"> Նախորդ տարիներից կառուցվող կամ վերակառուցվող, աջակցության ստացման ենթակա անասնաշենքեր, հատ </t>
  </si>
  <si>
    <t>ՀՀ կառավարության 2019 թվականի ապրիլի 4-ի N 369-Լ որոշում կետ 34</t>
  </si>
  <si>
    <t xml:space="preserve"> Գյուղատնտեսության խթանման ծրագիր </t>
  </si>
  <si>
    <t xml:space="preserve"> Անասնաբուծության ճյուղում իրականացվող ներդրումային ծրագրերին աջակցություն </t>
  </si>
  <si>
    <t>ՀՀ կառավարության կողմից հաստատված ծրագրի  շրջանակներում կատարված կապիտալ ներդրումների ծախսերի մասնակի փոխհատուցում</t>
  </si>
  <si>
    <t>ՀՀ կառավարության՝ 03.03.2022թ.-ի, թիվ 276-Լ որոշում</t>
  </si>
  <si>
    <t>Փոխհատուցման գումար</t>
  </si>
  <si>
    <t>ՀՀ դրամ</t>
  </si>
  <si>
    <t>Ներդրումային ծրագրեր</t>
  </si>
  <si>
    <t>ՀՀ-ում ոչխարաբուծության և այծաբուծության զարգացման նպատակով աջակցություն</t>
  </si>
  <si>
    <t>ՀՀ կառավարության կողմից հաստատված ծրագրի  շրջանակներում յուրաքանչյու ձեռքբերված ՄԵԿ-ի համար  սահմանված  չափով փոխհատուցում:</t>
  </si>
  <si>
    <t>ՀՀ կառավարության՝ 19.09.2019թ.-ի, թիվ 1305-Լ որոշում</t>
  </si>
  <si>
    <t>Ձեռք բերվող մանր եղջերավոր տոհմային կենդանիների քանակ</t>
  </si>
  <si>
    <t>գլուխ</t>
  </si>
  <si>
    <t>Փոքր և միջին ջերմոցային տնտեսությունների ներդրման պետական աջակցության ծրագիր</t>
  </si>
  <si>
    <t>ՀՀ կառավարության՝ 14.11.2019թ.-ի, թիվ 1612-Լ որոշում</t>
  </si>
  <si>
    <t>Շահագործման հանձնված ջերմատնային տնտեսություններ</t>
  </si>
  <si>
    <t xml:space="preserve"> Ոռոգման արդիական համակարգերի ներդրման նպատակով գյուղատնտեսությունում տնտեսավարողներին տրամադրվող նպատակային վարկերի տոկոսադրույքների սուբսիդավորում </t>
  </si>
  <si>
    <t>ՀՀ կառավարության՝ 07.03.2019թ.-ի, թիվ 212-Լ որոշում</t>
  </si>
  <si>
    <t>Ներդրված հա</t>
  </si>
  <si>
    <t>Ստանդարտների մշակում և հավատարմագրման համակարգի զարգացում</t>
  </si>
  <si>
    <t>Ստանդարտների մշակման ծառայություններ</t>
  </si>
  <si>
    <t>Պարտադիր ծախսերին դասվող միջոցառում</t>
  </si>
  <si>
    <t xml:space="preserve">Պարտադիր պետական ֆինանսավորման ենթակա են՝
1) պետական ստանդարտացման ամենամյա ծրագրով նախատեսված ազգային ստանդարտների մշակումը.
2) միջազգային համաձայնագրերով նախատեսված միջազգային, տարածաշրջանային և միջպետական ստանդարտների մշակումը կամ մասնակցությունը դրանց մշակմանը.
3) միջազգային և տարածաշրջանային ստանդարտացման կազմակերպություններին անդամակցության անդամավճարների վճարումը.
4) ստանդարտացման փաստաթղթերի ազգային ֆոնդի ստեղծումը և վարումը.
5) ստանդարտների տրամադրումը պետական կառավարման մարմիններին:
</t>
  </si>
  <si>
    <t>Ստանդարտների մշակման պետական ամենամյա ծրագրում ընդգրկվող ստանդարտների քանակը, միջազգային և միջպետական ստանդարտների նախագծերի փորձաքննությունների և էլեկտրոնային քվեարկությունների քանակը, ստանդարտացման նորմատիվ փաստաթղթերի ֆոնդի համալրումը և հաշվառումը</t>
  </si>
  <si>
    <t>2012թ. մարտի 5-ի «Ստանդարտացման մասին»  ՀՕ-21-Ն օրենք</t>
  </si>
  <si>
    <t>Հաստիքների թիվ</t>
  </si>
  <si>
    <t>հաստիք, քանակ</t>
  </si>
  <si>
    <t>ոչ գնային</t>
  </si>
  <si>
    <t>Աշխատավարձ և դրան հավասարեցված վճարներ</t>
  </si>
  <si>
    <t>գնային</t>
  </si>
  <si>
    <t>«Նվազագույն ամսական աշխատավարձի մասին» ՀՀ օրենք</t>
  </si>
  <si>
    <t>ԱԱՀ-ի գումար</t>
  </si>
  <si>
    <t>Աշխատանքի վարձատրություն</t>
  </si>
  <si>
    <t xml:space="preserve"> Ստանդարտների մշակման ծառայություններ</t>
  </si>
  <si>
    <t>2017 թվական</t>
  </si>
  <si>
    <t xml:space="preserve"> Գյուղատնտեսության արդիականացման ծրագիր </t>
  </si>
  <si>
    <t xml:space="preserve">Հայաստանի Հանրապետության գյուղատնտեսական տեխնիկայի  լիզինգի  աջակցության ծրագիր </t>
  </si>
  <si>
    <t>Ծրագրի շրջանականերում ֆիզիկական և իրավաբանական անձանց տրամադրված լիզինգի տարեկան մինչև 9 % տոկոսադրույքի 7տոկոսային կետի սուբսիդավորում  
Ծրագրի շրջանակում 2020 թվականի մարտի 26-ից մինչև դեկտեմբերի 31-ը ՀՀ ագրոպարենային ոլորտում զբաղված ֆիզիկական և իրավաբանական անձանց մինչև 14 տոկոսով տրամադրված լիզինգի տոկոսադրույքի ամբողջական սուբսիդավորում։
Ծրագրի շրջանակում 2021 թվականի փետրվարի 11-ից մինչև դեկտեմբերի 31-ը ՀՀ ագրոպարենային ոլորտում զբաղված ֆիզիկական և իրավաբանական անձանց մինչև 14 տոկոսով տրամադրված լիզինգի տոկոսադրույքի ամբողջական  սուբսիդավորում։
Ծրագրի շրջանակում 2022 թվականի փետրվարի 1-ից ֆիզիկական և իրավաբանական անձանց, անհատ ձեռնարկատերերին, համայնքներին մինչև 14 տոկոսով տրամադրված լիզինգի տոկոսադրույքի մինչև 12 տոկոսային կետի սուբսիդավորում  այնպիսի չափաքանակով, որ լիզինգառուի կողմից վճարվող լիզինգի տարեկան տոկոսադրույքը կազմի 2 տոկոս։</t>
  </si>
  <si>
    <t>ՀՀ կառավարության 18.08.2021թ.
N 1363-Ա որոշում
ՀՀ կառավա-րության 19.12.2019թ.
N 1886-Լ որոշում
 Հայաստանի Հանրապետության կառավարության 2017 թվականի մարտի 17-ի N 11 արձանագրային որոշում
ՀՀ կառավարության 26.03.2020թ. N 356– Լ որոշում
ՀՀ կառավարության 11.02.2021թ.           N 175– Լ որոշում
ՀՀ կառավարության 27.01.2022թ.           N 105– Լ որոշում</t>
  </si>
  <si>
    <t xml:space="preserve">ՀՀ կառավարության 16.03.2017թ.N 11 արձանագրային որոշում 
ՀՀ կառավարության 27.01.2022թ.N 105-Լ որոշում </t>
  </si>
  <si>
    <t>Պլանավորված ցուցանիշի համար հիմք է հանդիսացել նախորդ տարիներին տնտեսավարող սուբյեկտների  միջին ցուցանիշը: Շահառուների փոփոխություն կանխատեսվում է, սակայն հնարավոր չէ կանխատեսել 1 շահառուի հաշվով ծախսային փոփոխություն, ուստի ներկայացվում է լիզինգի մնացորդների հիման վրա կատարված հաշվարկ-հիմնավորումները։</t>
  </si>
  <si>
    <t xml:space="preserve">ՀՀ կառավարության 16.03.2017թ.N 11 արձանագրային որոշում 
ՀՀ կառավարության 27.01.2022թ.N 105-Լ  որոշում </t>
  </si>
  <si>
    <t>Լիզինգառուների թիվը ավելանում է նախորդ տարիների պարտավորությունների հաշվին:</t>
  </si>
  <si>
    <t>2026 թվական</t>
  </si>
  <si>
    <t xml:space="preserve"> Գյուղատնտեսական վարկերի տոկոսադրույքների սուբսիդավորում </t>
  </si>
  <si>
    <t xml:space="preserve">Ծրագրի շրջանակում ՀՀ ագրոպարենային ոլորտում զբաղված ֆիզիկական և իրավաբանական անձանց 12 տոկոսով տրամադրված վարկերի տոկոսադրույքի մինչև 7, իսկ գյուղատնտեսական կոոպերատիվների և ՀՀ կառավարության 2014 թվականի դեկտեմբերի 18-ի N 1444-Ն որոշմամբ հաստատված սոցիալական աջակցություն ստացող սահմանամերձ բնակավայրերի տարածքներում գործունեություն իրականացնող տնտեսավարողների համար մինչև 9 տոկոսային կետի սուբսիդավորում։ </t>
  </si>
  <si>
    <t>ՀՀ կառավարության 18.08.2021թ.
N 1363-Ա որոշում
ՀՀ կառավա¬րության 19.12.2019թ.
N 1886-Լ որոշում
ՀՀ կառավարության 14.09.2017թ.N 39 արձանագրային որոշում</t>
  </si>
  <si>
    <t xml:space="preserve">ՀՀ կառավարության 2014 թվականի դեկտեմբերի 18-ի N 1444-Ն որոշմամբ հաստատված սոցիալական աջակցություն ստացող սահմանամերձ բնակավայրերի տարածքներում գործունեություն իրականացնող տնտեսավարողների համար ամբողջական սուբսիդավորում։ </t>
  </si>
  <si>
    <t>ՀՀ կառավարության 07.03.2019թ. 
N 184 – Լ որոշում</t>
  </si>
  <si>
    <t>Ծրագրի շրջանակում 2021 թվականի փետրվարի 11-ից մինչև դեկտեմբերի 31-ը ՀՀ ագրոպարենային ոլորտում զբաղված ֆիզիկական և իրավաբանական անձանց մինչև 14 տոկոսով տրամադրված վարկերի տոկոսադրույքի ամբողջական  սուբսիդավորում։</t>
  </si>
  <si>
    <t>Ծրագրի շրջանակում 2022 թվականի փետրվարի 1-ից ՀՀ ագրոպարենային ոլորտում զբաղված ֆիզիկական և իրավաբանական անձանց մինչև 14 տոկոսով տրամադրված վարկերի մինչև 9 տոկոսային կետի սուբսիդավորում, իսկ Հայաստանի Հանրապետության կառավարության 2014 թվականի դեկտեմբերի 18-ի N 1444-Ն որոշմամբ հաստատված սոցիալական աջակցություն ստացող սահմանամերձ բնակավայրերի համար վարկերի տոկոսադրույքի սուբսիդավորումը կիրականացվի այնպիսի չափաքանակով, որպեսզի վարկերը տնտեսավարողներին տրամադրվեն 0 տոկոս տոկոսադրույքով, իսկ գյուղատնտեսական կոոպերատիվներին՝ 3 տոկոս տոկոսադրույքով</t>
  </si>
  <si>
    <t>ՀՀ կառավարության 27.01.2022թ.          
 N 103– Լ որոշում</t>
  </si>
  <si>
    <t>Ծրագրի շրջանակում 2023 թվականի հունվարի 1-ից  կդադարեն նոր վարկերի տրամադրումը, կսուբսիդավորվեն միայն նախորդ տարիներին տրամադրված վարկերի տոկոսադրուքյները</t>
  </si>
  <si>
    <t>ՀՀ կառավարության 16.09.2022թ.         
  N 1424– Լ որոշում</t>
  </si>
  <si>
    <t>Սուբսիդավորվող տնտեսավարող սուբյեկտներ, վարկառու,</t>
  </si>
  <si>
    <t xml:space="preserve">ՀՀ կառավարության 07.03.2019թ.N184-Լ որոշում </t>
  </si>
  <si>
    <t>2023 թվականից նոր սուբսիդավորվող վարկերի տրամադրում չի նախատեսվում, որի արդյունքում էլ նվազում է պահանջվող ֆինանսավորումը։ Կից ներկայացվում է վարկային մնացորդների հիման վրա կատարված հաշվարկ հիմնավորումը։</t>
  </si>
  <si>
    <t>2019թ նոյեմբերի 2</t>
  </si>
  <si>
    <t xml:space="preserve">Գերմանիայի զարգացման վարկերի բանկի (KFW) հետ համատեղ գյուղատնտեսության ոլորտում ապահովագրական համակարգի ներդրման փորձնական ծրագրի իրականացման համար պետական աջակցություն </t>
  </si>
  <si>
    <t>Ապահովագրավճարների մասնակի սուբսիդավորում`  50-65%-ի շրջանակներում</t>
  </si>
  <si>
    <t>05.12.2019թ. Կնքված ենթադրամաշնորհային համաձայնագիր 
ՀՀ կառավարության 18.08.2021թ.
N 1363-Ա որոշում
ՀՀ կառավարության 19.12.2019թ.
N 1886-Լ որոշում
2019 թվականի հոկտեմբերի 24–ի N 1485-Լ որոշում</t>
  </si>
  <si>
    <t>Ապահովագրվող տարածքներ</t>
  </si>
  <si>
    <t>05.12.2019թ. Կնքված ենթադրամաշնորհային համաձայնագիր 
2019 թվականի հոկտեմբերի 24–ի N 1485-Լ որոշում</t>
  </si>
  <si>
    <t>2023 թվականի բյուջեով հաստատված ցուցանիշի նկատմամբ կանխատեսվել է 1.2 անգամ աճ՝ հիմք ընդունելով 2022թ-ի աճը 2021 թ-ի նկատմամբ։ Անհրաժեշտ ֆինանսավորման կանխատեսման հիմքում դրվել են 2022 թ-ի փաստացի սուբսիդավոված միջին գումարները։</t>
  </si>
  <si>
    <t xml:space="preserve">Հայաստանի Հանրապետությունում 2019-2024 թվականների տավարաբուծության զարգացման ծրագիր </t>
  </si>
  <si>
    <t>14-17 ամսական էգ մատղաշ կամ երինջներ ձեռք բերող շահառուներ</t>
  </si>
  <si>
    <t>ՀՀ կառ․29.03.2019թ․N 327-L որոշում</t>
  </si>
  <si>
    <t>ՀՀ-ում աճեցված և ձեռք բերվող խոշոր եղջերավոր 
տոհմային կենդանիների քանակ</t>
  </si>
  <si>
    <t>ՀՀ կառավարության 29.03.2019թ.N 327-Լ  որոշում</t>
  </si>
  <si>
    <t>Ծրագրի շրջանակում ձեռք բերվող 
1 գլուխ տոհմային խոշոր եղջերավոր 
կենդանիների հաշվարկային 
առավելագույն արժեք է
 ընդունվել 1.0 մլն դրամը:
 Ծրագրով մեկ շահառուի վարկի
 առավելագույն չափ է սահմանվել 300 մլն դրամը։</t>
  </si>
  <si>
    <t>Ներկրված խոշոր եղջերավոր 
տոհմային կենդանիների քանակ</t>
  </si>
  <si>
    <t>Տրամադրվող առավելագույն տոկոսադրույքի չափը</t>
  </si>
  <si>
    <t>Վարկերը տրամադրվելու են 5 տարի մարման ժամկետով, առավելագույնը 14 տոկոս տոկոսադրույքով։</t>
  </si>
  <si>
    <t>Պետական օժանդակության համար տրամադրվող տոկոսադրույքի չափը</t>
  </si>
  <si>
    <t>Վարկերի տոկոսադրույքների սուբսիդավորումն իրականացվում է այնպիսի չափաքանակով, որպեսզի վարկերը շահառուին տրամադրվեն Հայաստանի Հանրապետությունում աճեցված տոհմային ԽԵԿ ձեռք բերելու համար 2% տոկոսադրույքով</t>
  </si>
  <si>
    <t>Վարկերի տոկոսադրույքների սուբսիդավորումն իրականացվում է այնպիսի չափաքանակով, որպեսզի վարկերը շահառուին տրամադրվեն Հներկրված ԽԵԿ ձեռք բերելու համար՝ 3% տոկոսադրույքով</t>
  </si>
  <si>
    <t>Վարկերի տոկոսադրույքների սուբսիդավորումն իրականացվում է այնպիսի չափաքանակով, որպեսզի վարկերը շահառուին տրամադրվեն ՀՀ  կառավարության 2014 թվականի դեկտեմբերի 18-ի N 1444-Ն որոշմամբ հաստատված ցանկում ընդգրկված սահմանամերձ համայնքների (այսուհետ՝ սահմանամերձ համայնքներ) տնտեսավարողներին կամ գյուղատնտեսության ոլորտում գործունեություն իրականացնող կոոպերատիվներին (այսուհետ՝ կոոպերատիվ)` 0% տոկոսադրույքով</t>
  </si>
  <si>
    <t>Համաձայն ՀՀ կառ․26,03,2020թ․ 356-Լ և 11,02,2021թ․ 175-Լ որոշումների վարկերը տրամադրվում են 14 տոկոս տոկոսադրույքով, իսկ տնտեսավարողներին կտրամադրվեն 0% տոկոսադրույքով.</t>
  </si>
  <si>
    <t>2019թ</t>
  </si>
  <si>
    <t>2027թ</t>
  </si>
  <si>
    <t xml:space="preserve">ՀՀ-ում  ոչխարաբուծության և այծաբուծության զարգացման նպատակով  տրամադրվող նպատակային վարկերի տոկոսադրույքների սուբսիդավորում </t>
  </si>
  <si>
    <t>4-16 ամսական էգ, 6-16 ամսական արու կամ մինչև 18 ամսական հղի ոչխարներ կամ այծեր ձեռքբերող շահառուներ</t>
  </si>
  <si>
    <t>ՀՀ կառ․ 19.09.2019թ․N 1305-L որոշում</t>
  </si>
  <si>
    <t>Ձեռք բերվող մանր եղջերավոր կենդանիներ</t>
  </si>
  <si>
    <t>ՀՀ կառավարության 19.09.2019թ․ 1305-Լ որոշում</t>
  </si>
  <si>
    <t>Ծրագրի շրջանակում ձեռք բերվող 
1 գլուխ տոհմային մանր  եղջերավոր 
կենդանիների հաշվարկային 
առավելագույն արժեք է
 ընդունվել 450.0 հազ դրամը:
 Ծրագրով մեկ շահառուի վարկի
 առավելագույն չափ է սահմանվել 900 մլն դրամը։Ծրագիրը նախատեսված է իրականացնել 2019-2023թթ․</t>
  </si>
  <si>
    <t xml:space="preserve"> Տրամադրվող տոկոսադրույքի չափ</t>
  </si>
  <si>
    <t>Վարկերը տրամադրվելու են 4 տարի մարման ժամկետով, առավելագույնը 14 տոկոս տոկոսադրույքով։Վարկերի տոկոսադրույքների սուբսիդավորումն իրականացվում է այնպիսի չափաքանակով, որպեսզի վարկերը տրամադրվեն 2% տոկոսադրույքով:</t>
  </si>
  <si>
    <t xml:space="preserve"> Ներդրումների և արտահանման խթանման ծրագիր </t>
  </si>
  <si>
    <t xml:space="preserve">ՀՀ արտահանմանն ուղղված արդյունաբերական քաղաքականության ռազմավարությամբ նախատեսված միջոցառումներ  </t>
  </si>
  <si>
    <t xml:space="preserve">Օտարերկրյա պետությունում և  Հայաստանում գործարար համաժողովների (ֆորումների), շնորհանդեսների, ինչպես նաև այլ համանման միջոցառումների մասնակցություն և  կազմակերպում </t>
  </si>
  <si>
    <t>Օտարերկրյա պետությունում և (կամ) Հայաստանում հայկական արտադրանքի ճանաչելիության բարձրացման և սպառողների կարծիքի ձևավորման (PR) միջոցառումների կազմակերպում և իրականացում</t>
  </si>
  <si>
    <t>Օտարերկրյա պետությունում և (կամ) Հայաստանում ցուցահանդեսների կազմակերպում և մասնակցության աջակցում</t>
  </si>
  <si>
    <t xml:space="preserve">Արտերկրում ոլորտային արտադրանքների ցուցահանդեսներին մասնակցությունը նպաստում է արտադրանքի ճանաչելիության բարձրացմանը, գործարար  նոր կապերի հաստատմանը և համագործակցությունների ձեռք բերմանը, արտադրանքի արտահանման ծավալների աճին։ </t>
  </si>
  <si>
    <t>Ընդհանուր բնույթի ծառայություններ /Օտարերկրյա պետությունում և  Հայաստանում գործարար համաժողովների (ֆորումների), շնորհանդեսների, ինչպես նաև այլ համանման միջոցառումների մասնակցություն և  կազմակերպում/</t>
  </si>
  <si>
    <t>Ընդհանուր բնույթի ծառայություններ /Օտարերկրյա պետությունում և (կամ) Հայաստանում հայկական արտադրանքի ճանաչելիության բարձրացման և սպառողների կարծիքի ձևավորման (PR) միջոցառումների կազմակերպում և իրականացում/</t>
  </si>
  <si>
    <t>Ընդհանուր բնույթի ծառայություններ /Օտարերկրյա պետությունում և (կամ) Հայաստանում ցուցահանդեսների կազմակերպում և մասնակցության աջակցում/</t>
  </si>
  <si>
    <t>Ներդրումների և արտահանման խթանման ծրագիր</t>
  </si>
  <si>
    <t>ՀՀ տարածքից արտահանման և/կամ ՀՀ տարածք ներմուծման նպատակով բեռների լաստանավով տեղափոխման դեպքում առաջացած լրացուցիչ ծախսերի նվազեցմանն ուղղված միջոցառումների իրականացում</t>
  </si>
  <si>
    <t>ՀՀ կառավարության կողմից հաստատված ծրագրի կողմնորոշիչ չափորոշիչներին համաձայն ծախսերի փոխհատուցման գումար:</t>
  </si>
  <si>
    <t>ՀՀ կառավարության 2022 թվականի մարտի 24-ի N 400-Լ որոշում</t>
  </si>
  <si>
    <t>Փոխհատուցման չափը</t>
  </si>
  <si>
    <t>հազ․դր</t>
  </si>
  <si>
    <t>500,000․0</t>
  </si>
  <si>
    <t>միջոցառման շրջանակներում ծախսերի փոխհատուցում</t>
  </si>
  <si>
    <t>Ներդրումների և արտահանաման խթանման ծրագիր</t>
  </si>
  <si>
    <t xml:space="preserve">Ենթակառուցվածքներ ներդրումների դիմաց միջոցառման իրականացում </t>
  </si>
  <si>
    <t>ՀՀ կառավարության 2022 թվականի օգոստոսի 24-ի N 1343-Ն որոշում</t>
  </si>
  <si>
    <t>Փոխհատուցման չափը հազ․դրամ</t>
  </si>
  <si>
    <t>4,000,000․0</t>
  </si>
  <si>
    <t>1022. Գյուղատնտեսության խթանման ծրագիր</t>
  </si>
  <si>
    <t>32001. Հողային բարեփոխումների փորձնական ծրագիր</t>
  </si>
  <si>
    <t>Հայեցողական ծախսերին դասվող միջոցառում (ոչ շարունակական)</t>
  </si>
  <si>
    <t>Նախատեսվում է 2024 թվականին «Գյուղատնտեսական ծառայությունների կենտրոն» ՊՈԱԿ-ի միջոցով ՀՀ Արմավիրի մարզի Բաղրամյան, Նորակերտ, Մայիսյան և Հայթաղ բնակավայրերում իրականացնել գյուղատնտեսական նշանակության հողերի ձեռքբերում:</t>
  </si>
  <si>
    <t xml:space="preserve">ՀՀ գյուղատնտեսության ոլորտում տնտեսական զարգացումն ապահովող հիմնական ուղղությունների 2020-2030 թվականների ռազմավարություն:
Հայաստանի Հանրապետության կառավարության ծրագիրը հաստատելու մասին» N 1363-Ա որոշում։
2021 թվականի  նոյեմբերի 18-ի «Հայաստանի Հանրապետության կառավարության 2021-2026 թվականների գործունեության միջոցառումների ծրագիրը հաստատելու մասին»  N 1902-Լ որոշմամբ հաստատված հավելված 1-ի «Էկոնոմիկայի նախարարություն» բաժնի 9.11 կետ՝ Հողային ռեսուրսների
նպատակային և ջրային
ռեսուրսների խնայողական ու
արդյունավետ օգտագործում: </t>
  </si>
  <si>
    <t>Ձեռք բերված հողերի քանակը</t>
  </si>
  <si>
    <t>Հեկտար</t>
  </si>
  <si>
    <t>ՀՀ կառավարության 2022 թվականի հոկտեմբերի 13-ի N 1605-Լ որոշմամբ որպես հողային բարեփոխումների ծրագրի ակնկալվող արդյունք դիտարկվել է շուրջ 800 հա հողատարածքի շրջանառության մեջ ներառումը, որից 130 հեկտարը արդեն իսկ ներառված է 2023 թվականի բյուջետային ֆինանսավորման հայտում: Հաշվի առնելով վերոգրյալը 2024 թվականի բյուջետային ֆինանսավորման հայտում նախատեսվել է, որ ձեռք կբերվի և կմիավորվի մնացած 670 հեկտարը:</t>
  </si>
  <si>
    <t>ՉԱՐՏԱԴՐՎԱԾ ԱԿՏԻՎՆԵՐ
որից`</t>
  </si>
  <si>
    <t xml:space="preserve"> - Գյուղատնտեսական նշանակության հող</t>
  </si>
  <si>
    <t>11004. Հողային բարեփոխումների փորձնական ծրագրին աջակցություն</t>
  </si>
  <si>
    <t>Միջոցառմամբ նախատեսվում է 2024 թվականին  իրականացնել հողային բարեփոխումների փորձնական ծրագրի շրջանակներում  ձեռքբերված գյուղատնտեսական նշանակության հողերի որակի բարելավման, ոռոգման համակարգերի տեղադրման կամ վերականգնման, ճանապարհաշինության, ինչպես նաև այլ աշխատանքներ, որոնք անհրաժեշտ են ծրագրով սահմանված նպատակների իրականացման համար։</t>
  </si>
  <si>
    <t>ՀՀ գյուղատնտեսության ոլորտում տնտեսական զարգացումն ապահովող հիմնական ուղղությունների 2020-2030 թվականների ռազմավարություն:
Հայաստանի Հանրապետության կառավարության ծրագիրը հաստատելու մասին» N 1363-Ա որոշում։
2021 թվականի  նոյեմբերի 18-ի «Հայաստանի Հանրապետության կառավարության 2021-2026 թվականների գործունեության միջոցառումների ծրագիրը հաստատելու մասին»  N 1902-Լ որոշմամբ հաստատված հավելված 1-ի «Էկոնոմիկայի նախարարություն» բաժնի 9.11 կետ՝ հողային ռեսուրսների
նպատակային և ջրային
ռեսուրսների խնայողական ու
արդյունավետ օգտագործում:</t>
  </si>
  <si>
    <t>Բարելավման միջոցառումներ իրականացնելու համար հողերի քանակը</t>
  </si>
  <si>
    <t xml:space="preserve"> 2024 թվականին հողերի բարելավման միջոցառումների իրականացման համար նախատեսվել է 135 հա, որը 2023 թվականի համեմատ աճել է 60 հետարով: Հաշվի առնելով այն հանգամանքը, որ  2024 թվականին ձեռքբերվող հողերի քանակը նույնպես աճել է:</t>
  </si>
  <si>
    <t>Գյուղատնտեսական նշանակության հողերի սեփականության իրավունքների գրացման, առքի, վաճառքի փոխանակման և վարձակալության գործարքների ընդհանուր հնարավոր ծախսեր, հարկեր</t>
  </si>
  <si>
    <t xml:space="preserve"> Հաշվի առնելով, որ 2024 թվականի բյուջետային ֆինանսավորման հայտում նախատեսվել է, որ ձեռք կբերվի և կմիավորվի 670 հա հողատարածք, ուստի դրանց սեփականության իրավունքների գրացման, առքի, վաճառքի փոխանակման և վարձակալության գործարքների ընդհանուր հնարավոր ծախսերի և հարկերի համար նույնպես դիտարկվել է 670 հեկտարը:</t>
  </si>
  <si>
    <t>Ընդհանուր բնույթի այլ ծառայություններ /հողերի բարելավման միջոցառումներ/</t>
  </si>
  <si>
    <t xml:space="preserve"> - Պարտադիր վճարներ</t>
  </si>
  <si>
    <t>Այլ հարկեր /այդ թվում՝ ԱԱՀ/</t>
  </si>
  <si>
    <t xml:space="preserve"> Հողային բարեփոխումների փորձնական ծրագրին աջակցություն</t>
  </si>
  <si>
    <t xml:space="preserve"> Գյուղատնտեսության խթանման ծրագիր</t>
  </si>
  <si>
    <t>Հողային բարեփոխումների փորձնական ծրագիր</t>
  </si>
  <si>
    <r>
      <t>ԸՆԴԱՄԵՆԸ (հազ. դրամ)</t>
    </r>
    <r>
      <rPr>
        <b/>
        <vertAlign val="superscript"/>
        <sz val="9"/>
        <color theme="1"/>
        <rFont val="GHEA Grapalat"/>
        <family val="3"/>
      </rPr>
      <t>17</t>
    </r>
  </si>
  <si>
    <r>
      <t>ԸՆԴԱՄԵՆԸ (հազ. դրամ)</t>
    </r>
    <r>
      <rPr>
        <b/>
        <vertAlign val="superscript"/>
        <sz val="10"/>
        <color theme="1"/>
        <rFont val="GHEA Grapalat"/>
        <family val="3"/>
      </rPr>
      <t>17</t>
    </r>
  </si>
  <si>
    <r>
      <t>ԸՆԴԱՄԵՆԸ (հազ. դրամ)</t>
    </r>
    <r>
      <rPr>
        <b/>
        <vertAlign val="superscript"/>
        <sz val="11"/>
        <color theme="1"/>
        <rFont val="GHEA Grapalat"/>
        <family val="3"/>
      </rPr>
      <t>17</t>
    </r>
  </si>
  <si>
    <t>միջոցառման շրջանակներում ծախսերի փոխհատուցման տոկոսի նվազեցում</t>
  </si>
  <si>
    <r>
      <t xml:space="preserve">4.1 Միջոցառման գծով ծախսային խնայողության վերաբերյալ առաջարկի բնույթը՝ </t>
    </r>
    <r>
      <rPr>
        <i/>
        <vertAlign val="superscript"/>
        <sz val="10"/>
        <color theme="1"/>
        <rFont val="GHEA Grapalat"/>
        <family val="3"/>
      </rPr>
      <t>18</t>
    </r>
    <r>
      <rPr>
        <sz val="11"/>
        <color theme="1"/>
        <rFont val="Calibri"/>
        <family val="2"/>
        <scheme val="minor"/>
      </rPr>
      <t/>
    </r>
  </si>
  <si>
    <t>Թվային մարքետինգի իրականացում</t>
  </si>
  <si>
    <r>
      <t xml:space="preserve">4.1 Միջոցառման գծով ծախսային խնայողության վերաբերյալ առաջարկի բնույթը՝ </t>
    </r>
    <r>
      <rPr>
        <i/>
        <vertAlign val="superscript"/>
        <sz val="9"/>
        <color theme="1"/>
        <rFont val="GHEA Grapalat"/>
        <family val="3"/>
      </rPr>
      <t>17</t>
    </r>
    <r>
      <rPr>
        <sz val="11"/>
        <color theme="1"/>
        <rFont val="Calibri"/>
        <family val="2"/>
        <scheme val="minor"/>
      </rPr>
      <t/>
    </r>
  </si>
  <si>
    <t>Աշխատակիցներ 84 տոկոսի աշխատավարձը չի հասնում նվազագույն սպառողական զամբյուղր մակարդակին</t>
  </si>
  <si>
    <t>ՀՀ տարածքից արտահանման և/կամ ՀՀ տարածք ներմուծման նպատակով բեռների լաստանավով տեղափոխման դեպքում առաջացած լրացուցիչ ծախսեր</t>
  </si>
  <si>
    <t>Ենթակառուցվածքներ ներդրումների դիմաց միջոցառման ծախս</t>
  </si>
  <si>
    <t>1059-11002</t>
  </si>
  <si>
    <t>ճշտել   2024 սխալ են ուղղել նաև ցուցանիշի պահը</t>
  </si>
  <si>
    <t>Մինչև 2023 թվականի հունվարի 1-ը տրամադրված լիզինգները հաշվարկվել են փաստացի պորտֆելների հիման վրա, իսկ 2023-2026 թվականների հաշվարկի համար հիմք է ընդունվել 2021 և 2022 թվականի փաստացի վարկային պորտֆելների միջինը։ Կատարված հաշվարկ-հիմնավորումները կցվում են։</t>
  </si>
  <si>
    <t>Տնտեսական զարգացման և ներդրումների ոլորտում պետական քաղաքականության մշակում, ծրագրերի համակարգում և մոնիթորինգ</t>
  </si>
  <si>
    <t>Տնտեսական հետազոտությունների կենտրոնի գործունեության ապահովում</t>
  </si>
  <si>
    <t xml:space="preserve">Միկրո և մակրո մակարդակներում տնտեսական, ոլորտային և ճյուղային հետազոտությունների, վերլուծությունների և մշտադիտարկումների իրականացում գիտականորեն հիմնավորված մեթոդական հենքի հիման վրա։ </t>
  </si>
  <si>
    <t xml:space="preserve">ՀՀ Ազգային ժողովի «Հայաստանի Հանրապետության կառավարության ծրագրին հավանություն տալու մասին» 2021 թվականի օգոստոսի 26-ի NԱԺՈ-002-Ն որոշում,
ՀՀ կառավարության 2021 թվականի  նոյեմբերի 18-ի «Հայաստանի Հանրա¬պետության կառավարության 2021-2026 թվականների գործունեության միջոցառումների ծրագիրը հաստատելու մասին» N1902-Լ որոշում
«Հայաստանի Հանրապետության կառավարության 2019-2023 թվականների գործունեության միջոցառումների ծրագիրը հաստատելու մասին» ՀՀ կառավարության 2019 թվականի մայիսի 16-ի N 650-Լ որոշում
ՀՀ կառավարության 2019թ. փետրվարի 8-ի N65-Ա որոշում, «Հայաստանի Հանրապետության կառավարության ծրագիր»,  
ՀՀ Վարչապետի 2019 թվականի հունիսի 1-ի N658-Լ որոշում, «Հայաստանի Հանրապետության էկոնոմիկայի նախարարության կանոնադրությունը հաստատելու և Հայաստանի Հանրապետության վարչապետի 2018 թվականի հունիսի 11-ի  N744-Լ և Հայաստանի Հանրապետության վարչապետի 2018 թվականի հունիսի 11-ի N742-Լ որոշումներն ուժը կորցրած ճանաչելու մասին»
«Հայաստանի Հանրապետության կառավարության 2019-2023 թվականների գործունեության միջոցառումների ծրագիրը հաստատելու մասին» ՀՀ կառավարության 2019 թվականի մայիսի 16-ի N 650-Լ որոշում
ՀՀ կառավարության 2014 թվականի մարտի 27-ի որոշում, «Հայաստանի  Հանրապետության  2014-2025  թվականների հեռանկարային  զարգացման»:  </t>
  </si>
  <si>
    <t>Աշխատակիցների վարձատրություն</t>
  </si>
  <si>
    <t>աշխատողների քանակ</t>
  </si>
  <si>
    <t>•	«Պետական պաշտոններ և պետական ծառայության պաշտոններ զբաղեցնող անձանց վարձատրության մասին» ՀՀ օրենք,</t>
  </si>
  <si>
    <t>27,125․2</t>
  </si>
  <si>
    <t xml:space="preserve">Տարբերությունը պայմանավորված է տնտեսական հետազոտությունների կենտրոնում տարվա ընթացքում թափուր հաստիքների առկայությամբ </t>
  </si>
  <si>
    <t>հաշվի առնելով, որ  ֆինանսավորումն ամբողջությամբ աշխատակիցների վարձատրություն է՝ միջոցառման շրջանակներում ծախսային խնայողություններ չի նախատեսվում</t>
  </si>
  <si>
    <t>2012թ.</t>
  </si>
  <si>
    <t>Աջակցություն ՀՀ հավատարմագրման համակարգին</t>
  </si>
  <si>
    <t xml:space="preserve">Համապատասխանության գնահատման մարմինների հավատարմագրում, hավատարմագրման ազգային մարմնի կարողությունների զարգացում՝ 
հավատարմագրման ոլորտում միջազգային և տարածաշրջանային հավատարմագրման համակարգերին ինտեգրում,  հավատարմագրման ազգային մարմնի գնահատում Եվրոպական հավատարմագրման կազմակերպության (EA) կողմից, միջազգային և ԵԱՏՄ պայմանագրերով ամրագրված պարտավորությունների իրականացնում:
</t>
  </si>
  <si>
    <t>Պետական բյուջեից ստացվող ֆինանսական միջոցների ապահովում, հավատարմագրման ծառայությունների համար վճարման չափի սահմանում</t>
  </si>
  <si>
    <t xml:space="preserve">2012թ. մարտի 5-ի «Հավատարմագրման մասին»  ՀՕ-20-Ն օրենք
ՀՀ կառավարության 06.09.2012թ.-ի N 1201-Ն որոշում,
ՀՀ կառավարության 13.02.2020թ.-ի N 152-Ն և 05.02.2015թ. N86-Ա որոշումներ,
ՀՀ կառավարության 2021-2026թթ ծրագրի և գործունեության 2021-2026թթ միջոցառումների  11.3 կետ,
ԵԱՏՄ Պայմանագրի «Տեխնիկական կանոնակարգում» Х-րդ բաժնի 54-րդ հոդված, 
Համաշխարհային Բանկի «Առևտրի խթանման և որակի ենթակառուցվածքի» ծրագրի ՏԿՑ 14,
Հավատարմագրման եվրոպական համագործակցության (EA) հետ Ասոցացման Համաձայնագիր:
</t>
  </si>
  <si>
    <t>ՀՀ էկոնոմիկայի նախարարի N340-Ն, առ 070.02.2023թ. հրաման</t>
  </si>
  <si>
    <t>Աշխատավարձ և դրան հավասարեցված վճարումներ</t>
  </si>
  <si>
    <t>հազ.դրամ</t>
  </si>
  <si>
    <t>շարունկական</t>
  </si>
  <si>
    <t>Ընթացիկ դրամաշնորհներ</t>
  </si>
  <si>
    <t xml:space="preserve"> Էկոնոմիկայի ոլորտում պետական քաղաքականության մշակում, ծրագրերի համակարգում և մոնիտորինգ</t>
  </si>
  <si>
    <t xml:space="preserve"> ԱՀԿ-ում և oտարերկրյա պետություններում ՀՀ առևտրային ներկայացուցիչների նպատակների և խնդիրների իրագործում</t>
  </si>
  <si>
    <t xml:space="preserve">ՀՀ կառավարության 2021 թվականի նոյեմբերի 18-ի N  1902-Լ որոշման N1 հավելվածի 5․2 - րդենթակետ։ </t>
  </si>
  <si>
    <t>ԱՀԿ-ում և oտարերկրյա պետություններում ՀՀ առևտրային ներկայացուցիչների նպատակների և խնդիրների իրագործում /Ներկայացուցիչների պահպանման ծախսեր/</t>
  </si>
  <si>
    <t>Աշխատավարձների բարձրացման համար հիմք է հանդիսացել Կառավարության 2022 թվականի սեպտեմբերի 29-ի նիստում հավանության է արժանացած «Նվազագույն ամսական աշխատավարձի մասին» օրենքում փոփոխություններ կատարելու մասին» օրենքի նախագիծը, որով նախատեսվում է 2023 թվականի հունվարի 1-ից նվազագույն աշխատավարձը սահմանել 83200 դրամ:</t>
  </si>
  <si>
    <t>Աշխատողների աշխատավարձեր  և պահպանման ծախսեր</t>
  </si>
  <si>
    <t xml:space="preserve">1.Գյուղատնտեսական նշանակության հողերի ագրոքիմիական դաշտային հետազոտություններ
2.Հետազոտվող տարածքից վերցված հողանմուշի լաբորատոր փորձաքննություն 
3.Ագրոքիմիական քարտեզների,գիտականորեն հիմնավորված երաշխավորագրերի կազմում և տրամադրում համայնքներին
</t>
  </si>
  <si>
    <t xml:space="preserve">ՀՀ կառավարության 2019 թվականի դեկ-տեմբերի 26-ի N 1919-Ն որոշմամբ հաստատ-ված «Հողերի ագրո-քիմիական հետազո-տության և բերրիու-թյան բարձրացման մի-ջոցառումներ»ծրագիրը
ՀՀ կառավարության 2010 թվականի նոյեմ-բերի 4-ի N 1476-Ն որոշմամբ հաստատված «Հայաստանի Հանրապետության գյուղի և գյուղատնտեսության 2010-2020 թվականների կայուն զարգացման ռազմավարություն
ՀՀ կառավարության 2019 թվականի մայիսի 16-ի N 650-Լ որոշմամբ հաստատված « կառավարության 2019-2023 թվակաների գործունեության  ծրագիր (գյուղատնտեսությունը բաժին)
</t>
  </si>
  <si>
    <t>Վնասակար օրգանիզմների հայտնաբերման նպատակով հետազոտված տարածքներ, հա</t>
  </si>
  <si>
    <t>*Այս ծրագիրը 2022թ բյուջեում հաշվառվել է 1224-12001 ծրագրով</t>
  </si>
  <si>
    <r>
      <t>1104</t>
    </r>
    <r>
      <rPr>
        <b/>
        <sz val="11"/>
        <color theme="1"/>
        <rFont val="GHEA Grapalat"/>
        <family val="3"/>
      </rPr>
      <t>*</t>
    </r>
  </si>
  <si>
    <t xml:space="preserve"> ՀՀ էկոնոմիկայի նախարարության տեխնիկական հագեցվածության բարելավում</t>
  </si>
  <si>
    <t xml:space="preserve"> ՀՀ էկոնոմիկայի նախարարության տեխնիկական հագեցվածության բարելավ</t>
  </si>
  <si>
    <t xml:space="preserve"> - Վարչական սարքավորումներ</t>
  </si>
  <si>
    <t xml:space="preserve"> - Ոչ նյութական հիմնական միջոցներ</t>
  </si>
  <si>
    <t xml:space="preserve"> ՀՀ էկոնոմիկայի նախարարության շենքային պայմանների բարելավում</t>
  </si>
  <si>
    <t>Միջոցառման իրականացումը բխում է 2021-2026 Կառավարության ծրագրից: Միջոցառմամբ նախատեսված ֆինանսական միջոցները կլրամշակվեն՝ համաձայն Քաղաքաշինության կոմիտեի կողմից տրվող խոշորացված հաշվարկների:</t>
  </si>
  <si>
    <t>ՀՀ էկոնոմիկայի նախարարության վարչական շենքի կապիտալ վերանորոգում</t>
  </si>
  <si>
    <t xml:space="preserve"> - Շենքերի և շինությունների կապիտալ վերանորոգում</t>
  </si>
  <si>
    <t xml:space="preserve"> - Նախագծահետազոտական ծախսեր</t>
  </si>
  <si>
    <t xml:space="preserve"> Զբոսաշրջության զարգացման ծրագիր</t>
  </si>
  <si>
    <t xml:space="preserve"> Զբոսաշրջության զարգացման ոլորտում պետական քաղաքականության մշակման և դրա կատարման համակարգման, պետական ծրագրերի պլանավորման, մշակման, իրականացման և մոնիտորինգի (վերահսկման) ծառայություններ</t>
  </si>
  <si>
    <t>Պահպանման ծասխ</t>
  </si>
  <si>
    <t>Համաշխարհային բանկի աջակցությամբ իրականացվող Տեղական տնտեսության և  ենթակառուցվածքների զարգացման  ծրագրի կառավարում</t>
  </si>
  <si>
    <t>Բազային տարին հաշվարկվել է 2022թ</t>
  </si>
  <si>
    <t>Համաշխարհային բանկի աջակցությամբ իրականացվող Տեղական տնտեսության և  ենթակառուցվածքների զարգացման  ծրագրի շրջանակներում ՀՀ տարբեր մարզերում  զբոսաշրջության հետ կապված ենթակառուցվածքների բարելավմանն ուղղված միջոցառումներ</t>
  </si>
  <si>
    <t>համակարգերի« լուսավորության վերանորոգում և նորովի կառուցում</t>
  </si>
  <si>
    <t>Ընտրված մարզերում զμոսաշրջության հետ կապված ենթակառուցվածքների« այդթվում` ճանապարհների« ավտոկայանատեղերի« ջրամատակարարման համակարգերի« լուսավորության վերանորոգում և նորովի կառուցում</t>
  </si>
  <si>
    <t>Գյուղական ենթակառուցվածքների վերականգնում և զարգացում</t>
  </si>
  <si>
    <t xml:space="preserve"> Զարգացման ֆրանսիական գործակալության աջակցությամբ ՀՀ Արարատի և Արմավիրի մարզերում ժամանակակաից պահանջներին համապատասխան ոռոգման համակարգերի ներդրման և զարգացմանն աջակցություն</t>
  </si>
  <si>
    <t xml:space="preserve"> Զարգացման ֆրանսիական գործակալության աջակցությամբ իրականացվող ՀՀ Արարատի և Արմավիրի մարզերում» ոռոգվող գյուղատնտեսության զարգացման դրամաշնորհային ծրագրի համակարգում և ղեկավարում</t>
  </si>
  <si>
    <t>Դրամաշնորհային ծրագիր</t>
  </si>
  <si>
    <t>Բազյին տարին վերվել է 2022թ</t>
  </si>
  <si>
    <r>
      <t>Հավելված N 1. Գոյություն ունեցող պարտավորությունների գծով ծախսակազմումների ամփոփ ձևաչափ</t>
    </r>
    <r>
      <rPr>
        <b/>
        <vertAlign val="superscript"/>
        <sz val="12"/>
        <color theme="1"/>
        <rFont val="GHEA Grapalat"/>
        <family val="3"/>
      </rPr>
      <t>*</t>
    </r>
  </si>
  <si>
    <r>
      <t>Ձևաչափ N 1. Գոյություն ունեցող պարտավորությունների գծով ամփոփ տեղեկատվություն</t>
    </r>
    <r>
      <rPr>
        <b/>
        <vertAlign val="superscript"/>
        <sz val="10"/>
        <color theme="1"/>
        <rFont val="GHEA Grapalat"/>
        <family val="3"/>
      </rPr>
      <t>1</t>
    </r>
    <r>
      <rPr>
        <b/>
        <sz val="10"/>
        <color theme="1"/>
        <rFont val="GHEA Grapalat"/>
        <family val="3"/>
      </rPr>
      <t xml:space="preserve"> </t>
    </r>
  </si>
  <si>
    <t>*</t>
  </si>
  <si>
    <t>**</t>
  </si>
  <si>
    <t xml:space="preserve"> Զարգացման ֆրանսիական գործակալության աջակցությամբ իրականացվող ՀՀ Արարատի և Արմավիրի մարզերում Ոռոգվող գյուղատնտեսության զարգացման դրամաշնորհային ծրագիր</t>
  </si>
  <si>
    <t xml:space="preserve">MICE (Meetings, Incentives, Conferences, Exhibitions) զբոսաշրջային  միջոցառումների կազմակերպում,իրականացում, </t>
  </si>
  <si>
    <t xml:space="preserve">Զբոսաշրջության ոլորտում գործնական նոր միջոցառումների իրականացումը կնպաստի   Հայաստանի՝ որպես  գրավիչ և նոր ուղիների բացահայտմանը,  միջազգային շուկայում, հայկական զբոսաշրջային արդյունքի ճանաչելիության բարձրացմանը, </t>
  </si>
  <si>
    <t>Արտերկրում հայկական արտադրանքի  հավանական գնորդների,  սփյուռքահայ գործարարների, պաշտոնական պատվիրակությունների մասնակցությամբ Հայաստանի Հանրապետության տնտեսության, նրա առանձին ոլորտների և կազմակերպությունների արտադրանքի առաջմղման և նոր գործարար կապերի ձևավորմանը միտված միջոցառումները նպաստում են նոր գործարար կապերի հաստատմանը, նոր շուկաների վերաբերյալ տեղեկատվության ստացմանը և տնտեսական կապերի ընդլայմանը, որի համար անհրաժեշտություն է ավելացնել նմանատիպ միջոցառումների քանակը</t>
  </si>
  <si>
    <t xml:space="preserve">Հայաստանում և արտերկրում գովազդային արշավների կազմակերպման բուկլետների և կատալոգների հրատարակման, արտահանման շուկաների վերաբերյալ տեղեկատվական նյութերի՝  ընկերություններին տրամադրման, օտարերկրյա պետությունում կամ Հայաստանում հայկական արտադրանքի համտեսների, շնորհանդեսների, մրցույթների ու նորաձևության ցուցադրությունների կազմակերպման և մասնակցության միջոցով,  ինչպես նաև այլ նմանատիպ միջոցառումների կազմակերպման և մասնակցության միջոցով հայկական արտադրանքի ճանաչելիության բարձրացման ապահահովում, սպառողների մոտ դրական վերաբերմունքի ձևավորում։  </t>
  </si>
  <si>
    <t>Միջազգային ճանաչողական այցերի կազմակերպում</t>
  </si>
  <si>
    <t>հատ/մարդ</t>
  </si>
  <si>
    <t>Հեղինակավոր պարբերականներում Հայաստանի մասին գովազդատեղեկատվական հոդվածների պատվիրում</t>
  </si>
  <si>
    <t>Գովազդատեղեկատվական նյութերի ստեղծում, ձեռքբերում</t>
  </si>
  <si>
    <t>Ներքին  շուկայում ներքին ցուցահանդեսի  կազմակերպում</t>
  </si>
  <si>
    <t>Թվային և սոցիալական հարթակների վարում</t>
  </si>
  <si>
    <t xml:space="preserve"> Մարդկային ռեսուրսների զարգացմանն ուղղված  դասընթացների    կազմակերպման հետ կապված ծառայությունների ձեռքբերում </t>
  </si>
  <si>
    <t>Զբոսաշրջային այցելավայրերի կառավարման կազմակերպությունների (DMO-ների) գործունեության հետ կապված ծառայությունների ձեռքբերում</t>
  </si>
  <si>
    <t xml:space="preserve">Զբոսաշրջային տեղեկատվական կենտրոնների գործունեության հետ կապված ծառայությունների ձեռքբերում </t>
  </si>
  <si>
    <t xml:space="preserve"> Գյուղական ենթակառուցվածքների վերականգնում և զարգացում</t>
  </si>
  <si>
    <t xml:space="preserve"> ԱՄՆ կառավարության աջակցությամբ իրականացված «Հազարամյակի մարտահրավեր» դրամաշնորհային ծրագրի արդյունքում ձևավորված ֆինանսական միջոցների կառավարում</t>
  </si>
  <si>
    <t>Հայեցողական ( շարունակական)</t>
  </si>
  <si>
    <t>Պետական աջակցություն Հայաստանի Հանրապետությունում ներդրումային ծրագրերի խթանմանը, իրականացմանը և հետներդրումային սպասարկմանը</t>
  </si>
  <si>
    <t xml:space="preserve"> Համաշխարհային բանկի աջակցությամբ իրականացվող Տեղական տնտեսության և ենթակառուցվածքների զարգացման  ծրագրի կառավարում</t>
  </si>
  <si>
    <t xml:space="preserve"> Վերակառուցման և զարգացման եվրոպական բանկի տարեկան  ժողովի շրջանակներում ներդրումային համաժողովի անցկացում</t>
  </si>
  <si>
    <t>ՀՀ կառավարության կողմից հաստատված ծրագրի  շրջանակներում միավորված հողամասում շահառուի իրականացրած աշխատանքների համարփաստացի կատարված ծախսերի մասնակի փոհատուցման տրամադրում</t>
  </si>
  <si>
    <t xml:space="preserve"> Ներդրողների սպասարկմանը, ներդրումների խթանման աշխատանքների իրականացմանը, արդյունաբերական քաղաքականության ռազմավարությամբ նախատեսված միջոցառումների կազմակերպմանը, օտարերկրյա ներդրողների ներգրավմանը և հետներդրումային սպասարկամանը պետական աջակցություն</t>
  </si>
  <si>
    <t xml:space="preserve">Հիմնադրամի բնականոն աշխատանքն ապահովելու, իր առջև դրված խնդիրների և նպատակների իրականացման համար Հիմնադրամի հաստատած հաստիքացուցակի ամբողջական համալրում
</t>
  </si>
  <si>
    <t>Հիմնադրամի բնականոն աշխատանքն ապահովելու, իր առջև դրված խնդիրների և նպատակների իրականացման համար Հիմնադրամի հաստատած հաստիքացուցակի ամբողջական համալրում։</t>
  </si>
  <si>
    <t>Աշխատողների աշխատավարձեր և խրախուսումներ</t>
  </si>
  <si>
    <t xml:space="preserve">Մինչև 2023թ-ը ներառյալ պետական բյուջեից ստացվող 16680.0 հազ. դրամը ուղղվում էր 15 աշխատակիցներից միայն 3 աշխատակցի աշխատավարձային ֆոնդին: 
Հաշվի առնելով այն հանգամանքը, որ վերջին տաս տարիների ընթացքում պարբերաբար նվազել է ՀԳՄ-ների թիվը, ինչի արդյունքում նվազել է նրանց կողմից վճարվող գումարի չափը։ Նախկինում ավելի մեծ թվով ՀԳՄ-ների կողմից ՀԱՄ-ին վճարված գումարի կուտակված ազատ դրամական մնացորդը թույլ է տվել մինչև 2023թ․ ապահովել ՀԱՄ-ի գործունեության ֆինանսավորումը, սակայն ներկայումս այդ առկա միջոցները սպառվել են և անհրաժեշտ է միջոցներ ձեռնարկել՝ 2024թ․ ՀԱՄ-ի եկամուտներն ավելացնելու ուղղությամբ։
2021 թ.-ին ՊՈԱԿ-ն ունեցել է 87.491.577 դրամ տարեկան եկամուտ, իսկ ծախսերը կազմել են 98.545.900 դրամ, տարբերությունը ծախսվել է կուտակված ազատ դրամական մնացորդից: Աշխատողների վճարները կազմում են ՊՈԱԿ-ի բյուջեի 78,5 %-ը, որից ընդամենը 18 %-ն է ստացվում Պետական բյուջեից, իսկ պահանման և այլ ծախսերը կազմում են 21,5 %-ը: Ծախսերի նախահաշվի 7-րդ, 8-րդ, 12-րդ, 17-րդ կետերով նախատեսվածներըը ուղղակիորեն կապված են ՀԳՄ-ների հավատարմագրման քանակից և գնաճի հետևանքով 2022թ.-ից ավելացել են ՊՈԱԿ-ի պահպանման ծախսերը (կապի, տրանսպորտային ծառայություն, տպիչ սարքերի լիցքավորում և սպասարկում, թուղթ, տնտեսական ծախսեր և այլն): Մնացածը կայուն ծախսեր են, որոնք կապված չեն  ՀԳՄ-ների հավատարմագրման քանակից, դրանք են ՀՀ, ԵԱՏՄ և միջազգային պայմանագրերով սահմանված պատրավորությունների կատարումը, որն իրենից ենթադրում է հավատարմագրման փորձագետների (գնահատողների), ՀՀ և ԵԱՏՄ տեխնիկական կանոնակարգերի համաձայն տրված համապատասխանության սերտիֆիկատների և համապատասխանության հայտարարագրերի միասնական ռեեստրների վարումը, եվրոպական, միջազգային և ԵԱՏՄ պայմանագրերով ամրագրված պարտավորությունների շրջանակում աշխատանքային խմբերի աշխատանքներին մասնակցությունը (գործուղում), ՀՀ-ում աշխատանքային խմբերի, պատվիրակությունների ընդունումը, հավատարմագրման փորձագետներին վերապատրաստումը, մասնագիտական զարգացումը:   
Միաժամանակ անհրաժեշտ է հաշվի առնել, որ 2024թ․ նախատեսվում է ապահովել մի շարք նոր միջոցառումների կատարում, որոնց համար անհրաժեշտ է  լրացուցիչ ֆինանսավորում, այսպես․
1. «Եվրասիական տնտեսական միության մասին» պայմանագրի 54-րդ հոդվածի 4-րդ մասի համաձայն «Անդամ պետությունների հավատարմագրման մարմիններն իրականացնում են փոխադարձ համեմատական գնահատումներ՝ նույնանման ընթացակարգեր սահմանելու նպատակով։  ԵԱՏՄ անդամ-պետությունների հավատարմագրման ազգային մարմինների կողմից մշակված փոխադարձ համեմատական գնահատումների իրականացման կարգի համաձայն նախատեսվում է գնահատումները սկսել 2023թ-ից, ուստի անհրաժեշտ է որոշակի ծախսեր նախատեսել գործընթացն իրականացնելու համար։
ՀՀ կառավարության 2021թ․ նոյեմբերի 18-ի «Հայաստանի Հանրապետության կառավարության 2021-2026 թվականների գործունեության միջոցառումների ծրագիրը հաստատելու մասին» թիվ 1902 – Լ որոշման հավելվածով հաստատված ծրագրի 11․3 կետով սահմանված է «Համապատասխանության գնահատման և հավատարմագրման կարողությունների զարգացում՝ թիրախ սահմանելով Հավատարմագրման ազգային մարմնի միջազգային ճանաչմանն ուղղված երկկողմ և բազմակողմ ճանաչման համաձայնագրերի կնքումը տարածաշրջանային և միջազգային հավատարմագրման կազմակերպությունների հետ (EA, ILAC, IAF)։» միջոցառումը (վերջնաժամկետը՝ 2026թ․ դեկտեմբերի 2-րդ տասնօրյակ)։ Միաժամանակ Համաշխարհային Բանկի «Առևտրի խթանման և որակի ենթակառուցվածքի» ծրագրի ՏԿՑ 14. «ISO/IEC 17025»-ի համաձայն լաբորատորիաների փորձարկման նպատակով ՀԱՄ-ի կողմից ՓՃՊ-ի կամ ԲՃՊ-ի ձեռքբերում» միջոցառման կատարման վերջանաժամկետ է սահմանված 2024թ․ մայիսը։ Միջոցառման կատարումն ապահովելու նպատակով ԵՄ ներկայացված հայտի հաստատման արդյունքում 2021թ․  հունիսի 4-ին մեկնարկել է հավատարմագրման ազգային մարմնի կարողությունների հզորացմանն ուղղված 18 ամիս տևողությամբ «Թվինինգ» ծրագիրը, որի ավարտից հետո անհրաժեշտ է գնահատման հայտ ներկայացնել Եվրոպական հավատարմագրման համագործակցությանը և դրական արդյունքների դեպքում ճանաչման համաձայնագրեր կնքել միջոցառումներում սահմանված կառույցների հետ։ </t>
  </si>
  <si>
    <t>Գործուղումներ</t>
  </si>
  <si>
    <t>ՀՀ կառավարության 2005 թվականի դեկտեմբերի 29-ի N 2335-Ն որոշում</t>
  </si>
  <si>
    <t>ԵԱՏՄ հավատարմագրման ազգային մարմինների փոխադարձ գնահատման նպատակով ՀԱՄ-ի փորձագետի գործուղում ԵԱՏՄ անդամ-պետություններ, Հավատարմագրման Եվրոպական համագործակցության (EA) անդամակցության շրջանակներում մասնակցություն գագաթնաժողովին, կոմիտեների աշխատանքներին, ԵԱՏՄ և Միջպետական տեխնիկական խորհրդի (ՄՏԽ) պայմանագրերի պարտավորությունների շրջանակներում մասնակցություն հավատարմագրման ազգային մարմինների ղեկավարների խորհրդի նիստին և աշխատաժողովներին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</si>
</sst>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
    <numFmt numFmtId="165" formatCode="0.0"/>
    <numFmt numFmtId="166" formatCode="_(* #,##0.0_);_(* \(#,##0.0\);_(* &quot;-&quot;??_);_(@_)"/>
    <numFmt numFmtId="167" formatCode="_(* #,##0_);_(* \(#,##0\);_(* &quot;-&quot;??_);_(@_)"/>
    <numFmt numFmtId="168" formatCode="_(* #,##0.0_);_(* \(#,##0.0\);_(* &quot;-&quot;?_);_(@_)"/>
    <numFmt numFmtId="169" formatCode="#,##0.0_);\(#,##0.0\)"/>
  </numFmts>
  <fonts count="56" x14ac:knownFonts="1">
    <font>
      <sz val="11"/>
      <color theme="1"/>
      <name val="Calibri"/>
      <family val="2"/>
      <scheme val="minor"/>
    </font>
    <font>
      <b/>
      <sz val="12"/>
      <color theme="1"/>
      <name val="GHEA Grapalat"/>
      <family val="3"/>
    </font>
    <font>
      <sz val="9"/>
      <color theme="1"/>
      <name val="GHEA Grapalat"/>
      <family val="3"/>
    </font>
    <font>
      <vertAlign val="superscript"/>
      <sz val="9"/>
      <color theme="1"/>
      <name val="GHEA Grapalat"/>
      <family val="3"/>
    </font>
    <font>
      <i/>
      <sz val="9"/>
      <color theme="1"/>
      <name val="GHEA Grapalat"/>
      <family val="3"/>
    </font>
    <font>
      <sz val="8"/>
      <color theme="1"/>
      <name val="GHEA Grapalat"/>
      <family val="3"/>
    </font>
    <font>
      <i/>
      <sz val="8"/>
      <color theme="1"/>
      <name val="GHEA Grapalat"/>
      <family val="3"/>
    </font>
    <font>
      <b/>
      <sz val="10"/>
      <color theme="1"/>
      <name val="GHEA Grapalat"/>
      <family val="3"/>
    </font>
    <font>
      <b/>
      <i/>
      <sz val="12"/>
      <color theme="1"/>
      <name val="GHEA Grapalat"/>
      <family val="3"/>
    </font>
    <font>
      <b/>
      <i/>
      <sz val="10"/>
      <color theme="1"/>
      <name val="GHEA Grapalat"/>
      <family val="3"/>
    </font>
    <font>
      <b/>
      <sz val="9"/>
      <color theme="1"/>
      <name val="GHEA Grapalat"/>
      <family val="3"/>
    </font>
    <font>
      <sz val="10"/>
      <color theme="1"/>
      <name val="GHEA Grapalat"/>
      <family val="3"/>
    </font>
    <font>
      <sz val="11"/>
      <color rgb="FF000000"/>
      <name val="Calibri"/>
      <family val="2"/>
    </font>
    <font>
      <b/>
      <vertAlign val="superscript"/>
      <sz val="10"/>
      <color theme="1"/>
      <name val="GHEA Grapalat"/>
      <family val="3"/>
    </font>
    <font>
      <sz val="11"/>
      <color theme="1"/>
      <name val="GHEA Grapalat"/>
      <family val="3"/>
    </font>
    <font>
      <i/>
      <vertAlign val="superscript"/>
      <sz val="9"/>
      <color theme="1"/>
      <name val="GHEA Grapalat"/>
      <family val="3"/>
    </font>
    <font>
      <vertAlign val="superscript"/>
      <sz val="8"/>
      <color theme="1"/>
      <name val="GHEA Grapalat"/>
      <family val="3"/>
    </font>
    <font>
      <sz val="9"/>
      <color theme="1"/>
      <name val="Calibri"/>
      <family val="2"/>
    </font>
    <font>
      <sz val="11"/>
      <color theme="1"/>
      <name val="Calibri"/>
      <family val="2"/>
      <scheme val="minor"/>
    </font>
    <font>
      <b/>
      <u/>
      <sz val="9"/>
      <color theme="1"/>
      <name val="GHEA Grapalat"/>
      <family val="3"/>
    </font>
    <font>
      <sz val="10"/>
      <color theme="1"/>
      <name val="Calibri"/>
      <family val="2"/>
      <scheme val="minor"/>
    </font>
    <font>
      <vertAlign val="superscript"/>
      <sz val="10"/>
      <color theme="1"/>
      <name val="GHEA Grapalat"/>
      <family val="3"/>
    </font>
    <font>
      <i/>
      <sz val="10"/>
      <color theme="1"/>
      <name val="GHEA Grapalat"/>
      <family val="3"/>
    </font>
    <font>
      <i/>
      <vertAlign val="superscript"/>
      <sz val="10"/>
      <color theme="1"/>
      <name val="GHEA Grapalat"/>
      <family val="3"/>
    </font>
    <font>
      <sz val="8"/>
      <color theme="1"/>
      <name val="Calibri"/>
      <family val="2"/>
      <scheme val="minor"/>
    </font>
    <font>
      <i/>
      <sz val="8"/>
      <color rgb="FF000000"/>
      <name val="GHEA Grapalat"/>
      <family val="3"/>
    </font>
    <font>
      <i/>
      <sz val="8"/>
      <name val="GHEA Grapalat"/>
      <family val="2"/>
    </font>
    <font>
      <sz val="7"/>
      <color theme="1"/>
      <name val="GHEA Grapalat"/>
      <family val="3"/>
    </font>
    <font>
      <sz val="11"/>
      <color rgb="FFFF0000"/>
      <name val="Calibri"/>
      <family val="2"/>
      <scheme val="minor"/>
    </font>
    <font>
      <b/>
      <sz val="11"/>
      <color theme="1"/>
      <name val="Calibri"/>
      <family val="2"/>
      <scheme val="minor"/>
    </font>
    <font>
      <sz val="9"/>
      <name val="GHEA Grapalat"/>
      <family val="3"/>
    </font>
    <font>
      <b/>
      <sz val="9"/>
      <color rgb="FFFF0000"/>
      <name val="GHEA Grapalat"/>
      <family val="3"/>
    </font>
    <font>
      <b/>
      <sz val="9"/>
      <name val="GHEA Grapalat"/>
      <family val="3"/>
    </font>
    <font>
      <i/>
      <sz val="9"/>
      <color theme="1"/>
      <name val="Arial Armenian"/>
      <family val="2"/>
    </font>
    <font>
      <sz val="8"/>
      <color theme="1"/>
      <name val="Arial LatArm"/>
      <family val="2"/>
    </font>
    <font>
      <sz val="9"/>
      <color theme="1"/>
      <name val="Arial LatArm"/>
      <family val="2"/>
    </font>
    <font>
      <sz val="9"/>
      <color rgb="FF000000"/>
      <name val="GHEA Grapalat"/>
      <family val="3"/>
    </font>
    <font>
      <i/>
      <sz val="10"/>
      <color theme="3"/>
      <name val="Arial Armenian"/>
      <family val="2"/>
    </font>
    <font>
      <b/>
      <sz val="8"/>
      <color theme="1"/>
      <name val="GHEA Grapalat"/>
      <family val="3"/>
    </font>
    <font>
      <sz val="10"/>
      <color theme="1"/>
      <name val="Arial Armenian"/>
      <family val="2"/>
    </font>
    <font>
      <sz val="9"/>
      <name val="Calibri"/>
      <family val="2"/>
    </font>
    <font>
      <i/>
      <sz val="10"/>
      <color rgb="FF000000"/>
      <name val="GHEA Grapalat"/>
      <family val="3"/>
    </font>
    <font>
      <b/>
      <vertAlign val="superscript"/>
      <sz val="9"/>
      <color theme="1"/>
      <name val="GHEA Grapalat"/>
      <family val="3"/>
    </font>
    <font>
      <b/>
      <sz val="10"/>
      <color theme="1"/>
      <name val="Calibri"/>
      <family val="2"/>
      <scheme val="minor"/>
    </font>
    <font>
      <b/>
      <sz val="11"/>
      <color theme="1"/>
      <name val="GHEA Grapalat"/>
      <family val="3"/>
    </font>
    <font>
      <b/>
      <vertAlign val="superscript"/>
      <sz val="11"/>
      <color theme="1"/>
      <name val="GHEA Grapalat"/>
      <family val="3"/>
    </font>
    <font>
      <sz val="8"/>
      <name val="Calibri"/>
      <family val="2"/>
      <scheme val="minor"/>
    </font>
    <font>
      <b/>
      <i/>
      <sz val="9"/>
      <color rgb="FF000000"/>
      <name val="GHEA Grapalat"/>
      <family val="3"/>
    </font>
    <font>
      <b/>
      <i/>
      <sz val="9"/>
      <name val="GHEA Grapalat"/>
      <family val="3"/>
    </font>
    <font>
      <b/>
      <sz val="10"/>
      <color rgb="FFFF0000"/>
      <name val="GHEA Grapalat"/>
      <family val="3"/>
    </font>
    <font>
      <b/>
      <sz val="11"/>
      <color rgb="FFFF0000"/>
      <name val="Calibri"/>
      <family val="2"/>
      <scheme val="minor"/>
    </font>
    <font>
      <b/>
      <sz val="14"/>
      <color theme="1"/>
      <name val="Calibri"/>
      <family val="2"/>
      <scheme val="minor"/>
    </font>
    <font>
      <b/>
      <sz val="9"/>
      <color theme="1"/>
      <name val="Calibri"/>
      <family val="2"/>
      <scheme val="minor"/>
    </font>
    <font>
      <b/>
      <i/>
      <sz val="8"/>
      <color rgb="FF000000"/>
      <name val="GHEA Grapalat"/>
      <family val="3"/>
    </font>
    <font>
      <b/>
      <vertAlign val="superscript"/>
      <sz val="12"/>
      <color theme="1"/>
      <name val="GHEA Grapalat"/>
      <family val="3"/>
    </font>
    <font>
      <sz val="9"/>
      <name val="Calibri"/>
      <family val="2"/>
      <scheme val="minor"/>
    </font>
  </fonts>
  <fills count="13">
    <fill>
      <patternFill patternType="none"/>
    </fill>
    <fill>
      <patternFill patternType="gray125"/>
    </fill>
    <fill>
      <patternFill patternType="solid">
        <fgColor rgb="FFD9D9D9"/>
        <bgColor indexed="64"/>
      </patternFill>
    </fill>
    <fill>
      <patternFill patternType="solid">
        <fgColor theme="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theme="2" tint="-9.9978637043366805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xf numFmtId="43" fontId="18" fillId="0" borderId="0" applyFont="0" applyFill="0" applyBorder="0" applyAlignment="0" applyProtection="0"/>
  </cellStyleXfs>
  <cellXfs count="408">
    <xf numFmtId="0" fontId="0" fillId="0" borderId="0" xfId="0"/>
    <xf numFmtId="0" fontId="7" fillId="0" borderId="0" xfId="0" applyFont="1" applyAlignment="1">
      <alignment vertical="center"/>
    </xf>
    <xf numFmtId="0" fontId="4" fillId="0" borderId="0" xfId="0" applyFont="1" applyAlignment="1">
      <alignment horizontal="justify" vertical="center"/>
    </xf>
    <xf numFmtId="0" fontId="1" fillId="0" borderId="0" xfId="0" applyFont="1" applyAlignment="1">
      <alignment horizontal="left" vertical="center"/>
    </xf>
    <xf numFmtId="0" fontId="2" fillId="2" borderId="1" xfId="0" applyFont="1" applyFill="1" applyBorder="1" applyAlignment="1">
      <alignment horizontal="center" vertical="center" wrapText="1"/>
    </xf>
    <xf numFmtId="0" fontId="0" fillId="3" borderId="0" xfId="0" applyFill="1"/>
    <xf numFmtId="0" fontId="7" fillId="0" borderId="0" xfId="0" applyFont="1" applyAlignment="1">
      <alignment horizontal="left" vertical="center"/>
    </xf>
    <xf numFmtId="0" fontId="7" fillId="0" borderId="0" xfId="0" applyFont="1"/>
    <xf numFmtId="0" fontId="11" fillId="0" borderId="0" xfId="0" applyFont="1"/>
    <xf numFmtId="0" fontId="14" fillId="0" borderId="0" xfId="0" applyFont="1"/>
    <xf numFmtId="0" fontId="2" fillId="3" borderId="1" xfId="0" applyFont="1" applyFill="1" applyBorder="1" applyAlignment="1">
      <alignment vertical="top" wrapText="1"/>
    </xf>
    <xf numFmtId="0" fontId="1" fillId="0" borderId="0" xfId="0" applyFont="1" applyAlignment="1">
      <alignment horizontal="left" vertical="center" wrapText="1"/>
    </xf>
    <xf numFmtId="0" fontId="9" fillId="0" borderId="3" xfId="0" applyFont="1" applyBorder="1" applyAlignment="1">
      <alignment vertical="center"/>
    </xf>
    <xf numFmtId="0" fontId="9" fillId="0" borderId="0" xfId="0" applyFont="1" applyAlignment="1">
      <alignment vertical="center"/>
    </xf>
    <xf numFmtId="0" fontId="9" fillId="0" borderId="3" xfId="0" applyFont="1" applyBorder="1" applyAlignment="1">
      <alignment horizontal="left" vertical="center"/>
    </xf>
    <xf numFmtId="0" fontId="9" fillId="0" borderId="0" xfId="0" applyFont="1" applyAlignment="1">
      <alignment horizontal="left" vertical="center"/>
    </xf>
    <xf numFmtId="0" fontId="4" fillId="0" borderId="0" xfId="0" applyFont="1" applyAlignment="1">
      <alignment vertical="center"/>
    </xf>
    <xf numFmtId="0" fontId="2" fillId="0" borderId="0" xfId="0" applyFont="1" applyAlignment="1">
      <alignment vertical="center"/>
    </xf>
    <xf numFmtId="0" fontId="2" fillId="2" borderId="1" xfId="0" applyFont="1" applyFill="1" applyBorder="1" applyAlignment="1">
      <alignment vertical="center" wrapText="1"/>
    </xf>
    <xf numFmtId="0" fontId="2" fillId="4" borderId="1" xfId="0" applyFont="1" applyFill="1" applyBorder="1" applyAlignment="1">
      <alignment horizontal="center" vertical="center" wrapText="1"/>
    </xf>
    <xf numFmtId="0" fontId="10" fillId="5" borderId="1" xfId="0" applyFont="1" applyFill="1" applyBorder="1" applyAlignment="1">
      <alignment horizontal="left" vertical="center"/>
    </xf>
    <xf numFmtId="0" fontId="2" fillId="5" borderId="1" xfId="0" applyFont="1" applyFill="1" applyBorder="1"/>
    <xf numFmtId="0" fontId="2" fillId="5" borderId="1" xfId="0" applyFont="1" applyFill="1" applyBorder="1" applyAlignment="1">
      <alignment vertical="center" wrapText="1"/>
    </xf>
    <xf numFmtId="0" fontId="10" fillId="5" borderId="1" xfId="0" applyFont="1" applyFill="1" applyBorder="1" applyAlignment="1">
      <alignment vertical="center" wrapText="1"/>
    </xf>
    <xf numFmtId="0" fontId="5" fillId="5" borderId="2" xfId="0" applyFont="1" applyFill="1" applyBorder="1" applyAlignment="1">
      <alignment horizontal="center" vertical="center" wrapText="1"/>
    </xf>
    <xf numFmtId="0" fontId="2" fillId="3" borderId="1" xfId="0" applyFont="1" applyFill="1" applyBorder="1" applyAlignment="1">
      <alignment vertical="center" wrapText="1"/>
    </xf>
    <xf numFmtId="0" fontId="2" fillId="7"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top" wrapText="1"/>
    </xf>
    <xf numFmtId="0" fontId="10" fillId="5" borderId="1" xfId="0" applyFont="1" applyFill="1" applyBorder="1" applyAlignment="1">
      <alignment horizontal="left" vertical="center" wrapText="1"/>
    </xf>
    <xf numFmtId="0" fontId="2" fillId="5" borderId="1" xfId="0" applyFont="1" applyFill="1" applyBorder="1" applyAlignment="1">
      <alignment vertical="center"/>
    </xf>
    <xf numFmtId="0" fontId="2"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164" fontId="2" fillId="5" borderId="1" xfId="0" applyNumberFormat="1" applyFont="1" applyFill="1" applyBorder="1" applyAlignment="1">
      <alignment vertical="center"/>
    </xf>
    <xf numFmtId="165" fontId="2" fillId="5" borderId="1" xfId="0" applyNumberFormat="1" applyFont="1" applyFill="1" applyBorder="1" applyAlignment="1">
      <alignment vertical="center"/>
    </xf>
    <xf numFmtId="165" fontId="9" fillId="0" borderId="0" xfId="0" applyNumberFormat="1" applyFont="1" applyAlignment="1">
      <alignment vertical="center"/>
    </xf>
    <xf numFmtId="165" fontId="0" fillId="0" borderId="0" xfId="0" applyNumberFormat="1"/>
    <xf numFmtId="166" fontId="2" fillId="5" borderId="1" xfId="1" applyNumberFormat="1" applyFont="1" applyFill="1" applyBorder="1" applyAlignment="1">
      <alignment vertical="center"/>
    </xf>
    <xf numFmtId="0" fontId="2" fillId="5" borderId="1" xfId="0" applyFont="1" applyFill="1" applyBorder="1" applyAlignment="1">
      <alignment horizontal="center" vertical="top" wrapText="1"/>
    </xf>
    <xf numFmtId="166" fontId="2" fillId="5" borderId="1" xfId="1" applyNumberFormat="1" applyFont="1" applyFill="1" applyBorder="1" applyAlignment="1">
      <alignment vertical="center" wrapText="1"/>
    </xf>
    <xf numFmtId="166" fontId="10" fillId="5" borderId="1" xfId="1" applyNumberFormat="1" applyFont="1" applyFill="1" applyBorder="1" applyAlignment="1">
      <alignment vertical="center" wrapText="1"/>
    </xf>
    <xf numFmtId="166" fontId="2" fillId="4" borderId="1" xfId="1" applyNumberFormat="1" applyFont="1" applyFill="1" applyBorder="1" applyAlignment="1">
      <alignment horizontal="center" vertical="center" wrapText="1"/>
    </xf>
    <xf numFmtId="166" fontId="2" fillId="2" borderId="1" xfId="1" applyNumberFormat="1" applyFont="1" applyFill="1" applyBorder="1" applyAlignment="1">
      <alignment horizontal="center" vertical="center" wrapText="1"/>
    </xf>
    <xf numFmtId="166" fontId="2" fillId="7" borderId="1" xfId="1" applyNumberFormat="1" applyFont="1" applyFill="1" applyBorder="1" applyAlignment="1">
      <alignment horizontal="center" vertical="center" wrapText="1"/>
    </xf>
    <xf numFmtId="0" fontId="2" fillId="5" borderId="1" xfId="0" applyFont="1" applyFill="1" applyBorder="1" applyAlignment="1">
      <alignment horizontal="left" vertical="center" wrapText="1"/>
    </xf>
    <xf numFmtId="0" fontId="2" fillId="5" borderId="7" xfId="0" applyFont="1" applyFill="1" applyBorder="1" applyAlignment="1">
      <alignment horizontal="center" vertical="center" wrapText="1"/>
    </xf>
    <xf numFmtId="0" fontId="2" fillId="5" borderId="4" xfId="0" applyFont="1" applyFill="1" applyBorder="1" applyAlignment="1">
      <alignment horizontal="center" vertical="center"/>
    </xf>
    <xf numFmtId="0" fontId="11"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1" fillId="0" borderId="1" xfId="0" applyFont="1" applyBorder="1" applyAlignment="1">
      <alignment vertical="center" wrapText="1"/>
    </xf>
    <xf numFmtId="0" fontId="14" fillId="0" borderId="1" xfId="0" applyFont="1" applyBorder="1" applyAlignment="1">
      <alignment horizontal="center" vertical="center"/>
    </xf>
    <xf numFmtId="43" fontId="2" fillId="5" borderId="1" xfId="1" applyFont="1" applyFill="1" applyBorder="1" applyAlignment="1">
      <alignment vertical="center" wrapText="1"/>
    </xf>
    <xf numFmtId="43" fontId="2" fillId="4" borderId="1" xfId="1" applyFont="1" applyFill="1" applyBorder="1" applyAlignment="1">
      <alignment horizontal="center" vertical="center" wrapText="1"/>
    </xf>
    <xf numFmtId="0" fontId="10" fillId="5" borderId="1" xfId="0" applyFont="1" applyFill="1" applyBorder="1" applyAlignment="1">
      <alignment horizontal="center" vertical="center" wrapText="1"/>
    </xf>
    <xf numFmtId="0" fontId="2" fillId="5" borderId="1" xfId="0" applyFont="1" applyFill="1" applyBorder="1" applyAlignment="1">
      <alignment horizontal="center" wrapText="1"/>
    </xf>
    <xf numFmtId="167" fontId="2" fillId="5" borderId="1" xfId="1" applyNumberFormat="1" applyFont="1" applyFill="1" applyBorder="1" applyAlignment="1">
      <alignment horizontal="right" vertical="center"/>
    </xf>
    <xf numFmtId="166" fontId="2" fillId="5" borderId="1" xfId="1" applyNumberFormat="1" applyFont="1" applyFill="1" applyBorder="1" applyAlignment="1">
      <alignment horizontal="right" vertical="center"/>
    </xf>
    <xf numFmtId="167" fontId="2" fillId="5" borderId="1" xfId="1" applyNumberFormat="1" applyFont="1" applyFill="1" applyBorder="1"/>
    <xf numFmtId="0" fontId="2" fillId="5" borderId="1" xfId="0" applyFont="1" applyFill="1" applyBorder="1" applyAlignment="1">
      <alignment horizontal="left" vertical="center"/>
    </xf>
    <xf numFmtId="0" fontId="2" fillId="5" borderId="8" xfId="0" applyFont="1" applyFill="1" applyBorder="1" applyAlignment="1">
      <alignment horizontal="center" vertical="center" wrapText="1"/>
    </xf>
    <xf numFmtId="166" fontId="2" fillId="5" borderId="1" xfId="1" applyNumberFormat="1" applyFont="1" applyFill="1" applyBorder="1"/>
    <xf numFmtId="167" fontId="2" fillId="5" borderId="1" xfId="0" applyNumberFormat="1" applyFont="1" applyFill="1" applyBorder="1" applyAlignment="1">
      <alignment horizontal="left" vertical="center" wrapText="1"/>
    </xf>
    <xf numFmtId="0" fontId="2" fillId="5" borderId="7" xfId="0" applyFont="1" applyFill="1" applyBorder="1" applyAlignment="1">
      <alignment vertical="center"/>
    </xf>
    <xf numFmtId="0" fontId="2" fillId="5" borderId="7" xfId="0" applyFont="1" applyFill="1" applyBorder="1" applyAlignment="1">
      <alignment vertical="top"/>
    </xf>
    <xf numFmtId="0" fontId="2" fillId="5" borderId="7" xfId="0" applyFont="1" applyFill="1" applyBorder="1" applyAlignment="1">
      <alignment horizontal="center" vertical="top" wrapText="1"/>
    </xf>
    <xf numFmtId="167" fontId="9" fillId="0" borderId="0" xfId="0" applyNumberFormat="1" applyFont="1" applyAlignment="1">
      <alignment vertical="center"/>
    </xf>
    <xf numFmtId="43" fontId="9" fillId="0" borderId="0" xfId="1" applyFont="1" applyAlignment="1">
      <alignment vertical="center"/>
    </xf>
    <xf numFmtId="43" fontId="9" fillId="0" borderId="0" xfId="0" applyNumberFormat="1" applyFont="1" applyAlignment="1">
      <alignment vertical="center"/>
    </xf>
    <xf numFmtId="168" fontId="9" fillId="0" borderId="0" xfId="0" applyNumberFormat="1" applyFont="1" applyAlignment="1">
      <alignment vertical="center"/>
    </xf>
    <xf numFmtId="166" fontId="10" fillId="5" borderId="1" xfId="1" applyNumberFormat="1" applyFont="1" applyFill="1" applyBorder="1" applyAlignment="1">
      <alignment horizontal="right" vertical="center" wrapText="1"/>
    </xf>
    <xf numFmtId="43" fontId="2" fillId="7" borderId="1" xfId="1" applyFont="1" applyFill="1" applyBorder="1" applyAlignment="1">
      <alignment horizontal="center" vertical="center" wrapText="1"/>
    </xf>
    <xf numFmtId="166" fontId="10" fillId="5" borderId="1" xfId="1" applyNumberFormat="1" applyFont="1" applyFill="1" applyBorder="1" applyAlignment="1">
      <alignment horizontal="center" vertical="center" wrapText="1"/>
    </xf>
    <xf numFmtId="166" fontId="2" fillId="5" borderId="1" xfId="1" applyNumberFormat="1" applyFont="1" applyFill="1" applyBorder="1" applyAlignment="1">
      <alignment horizontal="right" vertical="center" wrapText="1"/>
    </xf>
    <xf numFmtId="166" fontId="10" fillId="5" borderId="1" xfId="0" applyNumberFormat="1" applyFont="1" applyFill="1" applyBorder="1" applyAlignment="1">
      <alignment vertical="center" wrapText="1"/>
    </xf>
    <xf numFmtId="167" fontId="10" fillId="5" borderId="1" xfId="1" applyNumberFormat="1" applyFont="1" applyFill="1" applyBorder="1" applyAlignment="1">
      <alignment vertical="center" wrapText="1"/>
    </xf>
    <xf numFmtId="167" fontId="2" fillId="4" borderId="1" xfId="1" applyNumberFormat="1" applyFont="1" applyFill="1" applyBorder="1" applyAlignment="1">
      <alignment horizontal="center" vertical="center" wrapText="1"/>
    </xf>
    <xf numFmtId="167" fontId="2" fillId="7" borderId="1" xfId="1" applyNumberFormat="1" applyFont="1" applyFill="1" applyBorder="1" applyAlignment="1">
      <alignment horizontal="center" vertical="center" wrapText="1"/>
    </xf>
    <xf numFmtId="168" fontId="10" fillId="5" borderId="1" xfId="0" applyNumberFormat="1" applyFont="1" applyFill="1" applyBorder="1" applyAlignment="1">
      <alignment vertical="center" wrapText="1"/>
    </xf>
    <xf numFmtId="166" fontId="2" fillId="4" borderId="1" xfId="0" applyNumberFormat="1" applyFont="1" applyFill="1" applyBorder="1" applyAlignment="1">
      <alignment horizontal="center" vertical="center" wrapText="1"/>
    </xf>
    <xf numFmtId="167" fontId="2" fillId="5" borderId="1" xfId="1" applyNumberFormat="1" applyFont="1" applyFill="1" applyBorder="1" applyAlignment="1">
      <alignment vertical="center" wrapText="1"/>
    </xf>
    <xf numFmtId="167" fontId="10" fillId="5" borderId="1" xfId="0" applyNumberFormat="1" applyFont="1" applyFill="1" applyBorder="1" applyAlignment="1">
      <alignment vertical="center" wrapText="1"/>
    </xf>
    <xf numFmtId="167" fontId="2" fillId="4" borderId="1" xfId="0" applyNumberFormat="1" applyFont="1" applyFill="1" applyBorder="1" applyAlignment="1">
      <alignment horizontal="center" vertical="center" wrapText="1"/>
    </xf>
    <xf numFmtId="43" fontId="2" fillId="2" borderId="1" xfId="1" applyFont="1" applyFill="1" applyBorder="1" applyAlignment="1">
      <alignment horizontal="center" vertical="center" wrapText="1"/>
    </xf>
    <xf numFmtId="167" fontId="0" fillId="0" borderId="0" xfId="0" applyNumberFormat="1"/>
    <xf numFmtId="43" fontId="0" fillId="0" borderId="0" xfId="0" applyNumberFormat="1"/>
    <xf numFmtId="166" fontId="0" fillId="0" borderId="0" xfId="1" applyNumberFormat="1" applyFont="1"/>
    <xf numFmtId="43" fontId="0" fillId="0" borderId="0" xfId="1" applyFont="1"/>
    <xf numFmtId="0" fontId="2" fillId="5" borderId="1" xfId="0" applyFont="1" applyFill="1" applyBorder="1" applyAlignment="1">
      <alignment horizontal="right" vertical="center"/>
    </xf>
    <xf numFmtId="43" fontId="2" fillId="5" borderId="1" xfId="1" applyFont="1" applyFill="1" applyBorder="1" applyAlignment="1">
      <alignment horizontal="right" vertical="center"/>
    </xf>
    <xf numFmtId="0" fontId="2" fillId="5" borderId="1" xfId="0" applyFont="1" applyFill="1" applyBorder="1" applyAlignment="1">
      <alignment horizontal="left"/>
    </xf>
    <xf numFmtId="43" fontId="2" fillId="5" borderId="1" xfId="1" applyFont="1" applyFill="1" applyBorder="1"/>
    <xf numFmtId="166" fontId="9" fillId="0" borderId="0" xfId="1" applyNumberFormat="1" applyFont="1" applyAlignment="1">
      <alignment vertical="center"/>
    </xf>
    <xf numFmtId="166" fontId="10" fillId="5" borderId="1" xfId="0" applyNumberFormat="1" applyFont="1" applyFill="1" applyBorder="1" applyAlignment="1">
      <alignment horizontal="right" vertical="center" wrapText="1"/>
    </xf>
    <xf numFmtId="43" fontId="10" fillId="5" borderId="1" xfId="1" applyFont="1" applyFill="1" applyBorder="1" applyAlignment="1">
      <alignment vertical="center" wrapText="1"/>
    </xf>
    <xf numFmtId="43" fontId="2" fillId="5" borderId="1" xfId="0" applyNumberFormat="1" applyFont="1" applyFill="1" applyBorder="1" applyAlignment="1">
      <alignment vertical="center" wrapText="1"/>
    </xf>
    <xf numFmtId="166" fontId="2" fillId="5" borderId="1" xfId="0" applyNumberFormat="1" applyFont="1" applyFill="1" applyBorder="1" applyAlignment="1">
      <alignment vertical="center" wrapText="1"/>
    </xf>
    <xf numFmtId="43" fontId="5" fillId="5" borderId="2" xfId="1" applyFont="1" applyFill="1" applyBorder="1" applyAlignment="1">
      <alignment horizontal="center" vertical="center" wrapText="1"/>
    </xf>
    <xf numFmtId="0" fontId="5" fillId="5" borderId="1" xfId="0" applyFont="1" applyFill="1" applyBorder="1" applyAlignment="1">
      <alignment horizontal="center" vertical="center" wrapText="1"/>
    </xf>
    <xf numFmtId="0" fontId="20" fillId="0" borderId="0" xfId="0" applyFont="1"/>
    <xf numFmtId="0" fontId="11" fillId="3" borderId="1" xfId="0" applyFont="1" applyFill="1" applyBorder="1" applyAlignment="1">
      <alignment vertical="center" wrapText="1"/>
    </xf>
    <xf numFmtId="0" fontId="7" fillId="5" borderId="1" xfId="0" applyFont="1" applyFill="1" applyBorder="1" applyAlignment="1">
      <alignment horizontal="left" vertical="center"/>
    </xf>
    <xf numFmtId="0" fontId="7" fillId="5" borderId="1" xfId="0" applyFont="1" applyFill="1" applyBorder="1" applyAlignment="1">
      <alignment horizontal="left" vertical="top" wrapText="1"/>
    </xf>
    <xf numFmtId="0" fontId="20" fillId="0" borderId="0" xfId="0" applyFont="1" applyAlignment="1">
      <alignment vertical="top" wrapText="1"/>
    </xf>
    <xf numFmtId="0" fontId="11" fillId="3" borderId="1" xfId="0" applyFont="1" applyFill="1" applyBorder="1" applyAlignment="1">
      <alignment vertical="top" wrapText="1"/>
    </xf>
    <xf numFmtId="0" fontId="11" fillId="3" borderId="1" xfId="0" applyFont="1" applyFill="1" applyBorder="1" applyAlignment="1">
      <alignment horizontal="left" vertical="top" wrapText="1"/>
    </xf>
    <xf numFmtId="0" fontId="11" fillId="5" borderId="1" xfId="0" applyFont="1" applyFill="1" applyBorder="1" applyAlignment="1">
      <alignment vertical="top" wrapText="1"/>
    </xf>
    <xf numFmtId="0" fontId="11" fillId="5" borderId="1" xfId="0" applyFont="1" applyFill="1" applyBorder="1"/>
    <xf numFmtId="0" fontId="11" fillId="5" borderId="1" xfId="0" applyFont="1" applyFill="1" applyBorder="1" applyAlignment="1">
      <alignment wrapText="1"/>
    </xf>
    <xf numFmtId="0" fontId="7" fillId="0" borderId="0" xfId="0" applyFont="1" applyAlignment="1">
      <alignment horizontal="left" vertical="center" wrapText="1"/>
    </xf>
    <xf numFmtId="0" fontId="11" fillId="3" borderId="1" xfId="0" applyFont="1" applyFill="1" applyBorder="1" applyAlignment="1">
      <alignment horizontal="center" vertical="center" wrapText="1"/>
    </xf>
    <xf numFmtId="0" fontId="11" fillId="5" borderId="1" xfId="0" applyFont="1" applyFill="1" applyBorder="1" applyAlignment="1">
      <alignment vertical="top"/>
    </xf>
    <xf numFmtId="0" fontId="11" fillId="5" borderId="1" xfId="0" applyFont="1" applyFill="1" applyBorder="1" applyAlignment="1">
      <alignment horizontal="center" vertical="top"/>
    </xf>
    <xf numFmtId="0" fontId="22" fillId="5" borderId="1" xfId="0" applyFont="1" applyFill="1" applyBorder="1" applyAlignment="1">
      <alignment vertical="top" wrapText="1"/>
    </xf>
    <xf numFmtId="0" fontId="7" fillId="5" borderId="1" xfId="0" applyFont="1" applyFill="1" applyBorder="1" applyAlignment="1">
      <alignment vertical="top" wrapText="1"/>
    </xf>
    <xf numFmtId="0" fontId="11" fillId="0" borderId="0" xfId="0" applyFont="1" applyAlignment="1">
      <alignment vertical="center"/>
    </xf>
    <xf numFmtId="0" fontId="22" fillId="0" borderId="0" xfId="0" applyFont="1" applyAlignment="1">
      <alignment vertical="center"/>
    </xf>
    <xf numFmtId="0" fontId="11" fillId="0" borderId="4" xfId="0" applyFont="1" applyBorder="1" applyAlignment="1">
      <alignment vertical="center"/>
    </xf>
    <xf numFmtId="0" fontId="11" fillId="0" borderId="5" xfId="0" applyFont="1" applyBorder="1" applyAlignment="1">
      <alignment vertical="center"/>
    </xf>
    <xf numFmtId="0" fontId="11" fillId="0" borderId="6" xfId="0" applyFont="1" applyBorder="1" applyAlignment="1">
      <alignment vertical="center"/>
    </xf>
    <xf numFmtId="4" fontId="20" fillId="0" borderId="0" xfId="0" applyNumberFormat="1" applyFont="1"/>
    <xf numFmtId="0" fontId="11" fillId="2"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5" borderId="1" xfId="0" applyFont="1" applyFill="1" applyBorder="1" applyAlignment="1">
      <alignment vertical="center" wrapText="1"/>
    </xf>
    <xf numFmtId="164" fontId="11" fillId="5" borderId="1" xfId="0" applyNumberFormat="1" applyFont="1" applyFill="1" applyBorder="1" applyAlignment="1">
      <alignment horizontal="center" vertical="center" wrapText="1"/>
    </xf>
    <xf numFmtId="4" fontId="11" fillId="5" borderId="1" xfId="0" applyNumberFormat="1" applyFont="1" applyFill="1" applyBorder="1" applyAlignment="1">
      <alignment horizontal="center" vertical="center" wrapText="1"/>
    </xf>
    <xf numFmtId="3" fontId="11" fillId="4" borderId="1" xfId="0" applyNumberFormat="1" applyFont="1" applyFill="1" applyBorder="1" applyAlignment="1">
      <alignment horizontal="center" vertical="center" wrapText="1"/>
    </xf>
    <xf numFmtId="0" fontId="7" fillId="5" borderId="1" xfId="0" applyFont="1" applyFill="1" applyBorder="1" applyAlignment="1">
      <alignment vertical="center" wrapText="1"/>
    </xf>
    <xf numFmtId="3" fontId="11" fillId="7" borderId="1" xfId="0" applyNumberFormat="1" applyFont="1" applyFill="1" applyBorder="1" applyAlignment="1">
      <alignment horizontal="center" vertical="center" wrapText="1"/>
    </xf>
    <xf numFmtId="0" fontId="11" fillId="2" borderId="1" xfId="0" applyFont="1" applyFill="1" applyBorder="1" applyAlignment="1">
      <alignment vertical="center" wrapText="1"/>
    </xf>
    <xf numFmtId="0" fontId="11" fillId="5" borderId="1" xfId="0" applyFont="1" applyFill="1" applyBorder="1" applyAlignment="1">
      <alignment horizontal="center" vertical="center" wrapText="1"/>
    </xf>
    <xf numFmtId="0" fontId="2" fillId="5" borderId="1" xfId="0" applyFont="1" applyFill="1" applyBorder="1" applyAlignment="1">
      <alignment vertical="top"/>
    </xf>
    <xf numFmtId="0" fontId="2" fillId="5" borderId="1" xfId="0" applyFont="1" applyFill="1" applyBorder="1" applyAlignment="1">
      <alignment vertical="top" wrapText="1"/>
    </xf>
    <xf numFmtId="0" fontId="2" fillId="5" borderId="1" xfId="0" applyFont="1" applyFill="1" applyBorder="1" applyAlignment="1">
      <alignment wrapText="1"/>
    </xf>
    <xf numFmtId="0" fontId="2" fillId="5" borderId="1" xfId="0" applyFont="1" applyFill="1" applyBorder="1" applyAlignment="1">
      <alignment horizontal="center"/>
    </xf>
    <xf numFmtId="0" fontId="2" fillId="0" borderId="0" xfId="0" applyFont="1" applyAlignment="1">
      <alignment wrapText="1"/>
    </xf>
    <xf numFmtId="165" fontId="2" fillId="5" borderId="1" xfId="0" applyNumberFormat="1" applyFont="1" applyFill="1" applyBorder="1"/>
    <xf numFmtId="164" fontId="0" fillId="0" borderId="0" xfId="0" applyNumberFormat="1"/>
    <xf numFmtId="0" fontId="2" fillId="0" borderId="0" xfId="0" applyFont="1" applyAlignment="1">
      <alignment horizontal="center" vertical="center" wrapText="1"/>
    </xf>
    <xf numFmtId="4" fontId="2" fillId="5" borderId="1" xfId="0" applyNumberFormat="1" applyFont="1" applyFill="1" applyBorder="1" applyAlignment="1">
      <alignment vertical="center" wrapText="1"/>
    </xf>
    <xf numFmtId="0" fontId="2" fillId="8" borderId="1" xfId="0" applyFont="1" applyFill="1" applyBorder="1" applyAlignment="1">
      <alignment vertical="top"/>
    </xf>
    <xf numFmtId="0" fontId="2" fillId="8" borderId="1" xfId="0" applyFont="1" applyFill="1" applyBorder="1" applyAlignment="1">
      <alignment wrapText="1"/>
    </xf>
    <xf numFmtId="0" fontId="2" fillId="8" borderId="1" xfId="0" applyFont="1" applyFill="1" applyBorder="1"/>
    <xf numFmtId="0" fontId="2" fillId="8" borderId="1" xfId="0" applyFont="1" applyFill="1" applyBorder="1" applyAlignment="1">
      <alignment vertical="top" wrapText="1"/>
    </xf>
    <xf numFmtId="43" fontId="7" fillId="0" borderId="0" xfId="1" applyFont="1" applyAlignment="1">
      <alignment vertical="center"/>
    </xf>
    <xf numFmtId="43" fontId="1" fillId="0" borderId="0" xfId="1" applyFont="1" applyAlignment="1">
      <alignment horizontal="left" vertical="center"/>
    </xf>
    <xf numFmtId="43" fontId="5" fillId="2" borderId="1" xfId="1" applyFont="1" applyFill="1" applyBorder="1" applyAlignment="1">
      <alignment horizontal="center" vertical="center" wrapText="1"/>
    </xf>
    <xf numFmtId="43" fontId="5" fillId="7" borderId="1" xfId="1" applyFont="1" applyFill="1" applyBorder="1" applyAlignment="1">
      <alignment horizontal="center" vertical="center" wrapText="1"/>
    </xf>
    <xf numFmtId="43" fontId="5" fillId="4" borderId="1" xfId="1" applyFont="1" applyFill="1" applyBorder="1" applyAlignment="1">
      <alignment horizontal="center" vertical="center" wrapText="1"/>
    </xf>
    <xf numFmtId="43" fontId="5" fillId="5" borderId="1" xfId="1" applyFont="1" applyFill="1" applyBorder="1" applyAlignment="1">
      <alignment horizontal="center" vertical="center" wrapText="1"/>
    </xf>
    <xf numFmtId="43" fontId="0" fillId="6" borderId="0" xfId="1" applyFont="1" applyFill="1"/>
    <xf numFmtId="0" fontId="7" fillId="0" borderId="0" xfId="1" applyNumberFormat="1" applyFont="1" applyAlignment="1">
      <alignment vertical="center"/>
    </xf>
    <xf numFmtId="0" fontId="1" fillId="0" borderId="0" xfId="1" applyNumberFormat="1" applyFont="1" applyAlignment="1">
      <alignment horizontal="left" vertical="center"/>
    </xf>
    <xf numFmtId="0" fontId="5" fillId="4" borderId="1" xfId="1" applyNumberFormat="1" applyFont="1" applyFill="1" applyBorder="1" applyAlignment="1">
      <alignment horizontal="center" vertical="center" wrapText="1"/>
    </xf>
    <xf numFmtId="0" fontId="5" fillId="5" borderId="2" xfId="1" applyNumberFormat="1" applyFont="1" applyFill="1" applyBorder="1" applyAlignment="1">
      <alignment horizontal="center" vertical="center" wrapText="1"/>
    </xf>
    <xf numFmtId="0" fontId="0" fillId="6" borderId="0" xfId="1" applyNumberFormat="1" applyFont="1" applyFill="1"/>
    <xf numFmtId="0" fontId="0" fillId="0" borderId="0" xfId="1" applyNumberFormat="1" applyFont="1"/>
    <xf numFmtId="0" fontId="26" fillId="0" borderId="0" xfId="0" applyFont="1" applyAlignment="1">
      <alignment horizontal="left" vertical="top" wrapText="1"/>
    </xf>
    <xf numFmtId="0" fontId="2" fillId="5" borderId="4" xfId="0" applyFont="1" applyFill="1" applyBorder="1" applyAlignment="1">
      <alignment horizontal="center" vertical="center" wrapText="1"/>
    </xf>
    <xf numFmtId="43" fontId="2" fillId="4" borderId="1" xfId="0" applyNumberFormat="1" applyFont="1" applyFill="1" applyBorder="1" applyAlignment="1">
      <alignment horizontal="center" vertical="center" wrapText="1"/>
    </xf>
    <xf numFmtId="49" fontId="10" fillId="5" borderId="1" xfId="0" applyNumberFormat="1" applyFont="1" applyFill="1" applyBorder="1" applyAlignment="1">
      <alignment horizontal="left" vertical="center"/>
    </xf>
    <xf numFmtId="0" fontId="5" fillId="5" borderId="1" xfId="0" applyFont="1" applyFill="1" applyBorder="1"/>
    <xf numFmtId="1" fontId="2" fillId="5" borderId="1" xfId="0" applyNumberFormat="1" applyFont="1" applyFill="1" applyBorder="1"/>
    <xf numFmtId="0" fontId="27" fillId="5" borderId="1" xfId="0" applyFont="1" applyFill="1" applyBorder="1" applyAlignment="1">
      <alignment horizontal="center" vertical="center" wrapText="1"/>
    </xf>
    <xf numFmtId="0" fontId="5" fillId="5" borderId="1" xfId="0" applyFont="1" applyFill="1" applyBorder="1" applyAlignment="1">
      <alignment horizontal="left" vertical="top" wrapText="1"/>
    </xf>
    <xf numFmtId="0" fontId="27" fillId="8" borderId="1" xfId="0" applyFont="1" applyFill="1" applyBorder="1" applyAlignment="1">
      <alignment horizontal="center" vertical="center" wrapText="1"/>
    </xf>
    <xf numFmtId="0" fontId="5" fillId="5" borderId="1" xfId="0" applyFont="1" applyFill="1" applyBorder="1" applyAlignment="1">
      <alignment horizontal="left" vertical="top"/>
    </xf>
    <xf numFmtId="0" fontId="5" fillId="5" borderId="1" xfId="0" applyFont="1" applyFill="1" applyBorder="1" applyAlignment="1">
      <alignment horizontal="left" vertical="center"/>
    </xf>
    <xf numFmtId="0" fontId="5" fillId="5" borderId="1" xfId="0" applyFont="1" applyFill="1" applyBorder="1" applyAlignment="1">
      <alignment horizontal="left" wrapText="1"/>
    </xf>
    <xf numFmtId="0" fontId="5" fillId="0" borderId="0" xfId="0" applyFont="1" applyAlignment="1">
      <alignment horizontal="left" vertical="top" wrapText="1"/>
    </xf>
    <xf numFmtId="0" fontId="2" fillId="0" borderId="0" xfId="0" applyFont="1"/>
    <xf numFmtId="165" fontId="2" fillId="0" borderId="0" xfId="0" applyNumberFormat="1" applyFont="1"/>
    <xf numFmtId="0" fontId="27" fillId="0" borderId="0" xfId="0" applyFont="1" applyAlignment="1">
      <alignment horizontal="center" vertical="center" wrapText="1"/>
    </xf>
    <xf numFmtId="49" fontId="5" fillId="5" borderId="1" xfId="0" applyNumberFormat="1" applyFont="1" applyFill="1" applyBorder="1" applyAlignment="1">
      <alignment horizontal="center" vertical="center" wrapText="1"/>
    </xf>
    <xf numFmtId="0" fontId="0" fillId="0" borderId="0" xfId="0" applyAlignment="1">
      <alignment vertical="center"/>
    </xf>
    <xf numFmtId="4" fontId="2" fillId="5" borderId="1" xfId="0" applyNumberFormat="1" applyFont="1" applyFill="1" applyBorder="1" applyAlignment="1">
      <alignment vertical="center"/>
    </xf>
    <xf numFmtId="4" fontId="2" fillId="4" borderId="1" xfId="0" applyNumberFormat="1" applyFont="1" applyFill="1" applyBorder="1" applyAlignment="1">
      <alignment horizontal="center" vertical="center" wrapText="1"/>
    </xf>
    <xf numFmtId="4" fontId="2" fillId="7" borderId="1" xfId="0" applyNumberFormat="1"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2" fillId="5" borderId="1" xfId="0" applyNumberFormat="1" applyFont="1" applyFill="1" applyBorder="1"/>
    <xf numFmtId="4" fontId="0" fillId="0" borderId="0" xfId="0" applyNumberFormat="1"/>
    <xf numFmtId="4" fontId="5" fillId="5" borderId="2" xfId="0" applyNumberFormat="1" applyFont="1" applyFill="1" applyBorder="1" applyAlignment="1">
      <alignment horizontal="center" vertical="center" wrapText="1"/>
    </xf>
    <xf numFmtId="0" fontId="10" fillId="5" borderId="1" xfId="0" applyFont="1" applyFill="1" applyBorder="1" applyAlignment="1">
      <alignment horizontal="center" vertical="center"/>
    </xf>
    <xf numFmtId="0" fontId="30" fillId="5" borderId="7" xfId="0" applyFont="1" applyFill="1" applyBorder="1" applyAlignment="1">
      <alignment horizontal="center" vertical="center" wrapText="1"/>
    </xf>
    <xf numFmtId="0" fontId="30" fillId="5" borderId="1" xfId="0" applyFont="1" applyFill="1" applyBorder="1" applyAlignment="1">
      <alignment horizontal="center" vertical="center" wrapText="1"/>
    </xf>
    <xf numFmtId="49" fontId="30" fillId="5" borderId="1" xfId="0" applyNumberFormat="1" applyFont="1" applyFill="1" applyBorder="1" applyAlignment="1">
      <alignment horizontal="center" vertical="center" wrapText="1"/>
    </xf>
    <xf numFmtId="0" fontId="30" fillId="5" borderId="1" xfId="0" applyFont="1" applyFill="1" applyBorder="1" applyAlignment="1">
      <alignment horizontal="left" vertical="center" wrapText="1"/>
    </xf>
    <xf numFmtId="0" fontId="30" fillId="5" borderId="1" xfId="0" applyFont="1" applyFill="1" applyBorder="1" applyAlignment="1">
      <alignment horizontal="left" vertical="top" wrapText="1"/>
    </xf>
    <xf numFmtId="0" fontId="30" fillId="5" borderId="1" xfId="0" applyFont="1" applyFill="1" applyBorder="1" applyAlignment="1">
      <alignment vertical="center" wrapText="1"/>
    </xf>
    <xf numFmtId="0" fontId="30" fillId="5" borderId="1" xfId="0" applyFont="1" applyFill="1" applyBorder="1" applyAlignment="1">
      <alignment vertical="top" wrapText="1"/>
    </xf>
    <xf numFmtId="0" fontId="30" fillId="5" borderId="1" xfId="0" applyFont="1" applyFill="1" applyBorder="1" applyAlignment="1">
      <alignment horizontal="center"/>
    </xf>
    <xf numFmtId="0" fontId="5" fillId="5" borderId="1" xfId="0" applyFont="1" applyFill="1" applyBorder="1" applyAlignment="1">
      <alignment horizontal="center" wrapText="1"/>
    </xf>
    <xf numFmtId="0" fontId="5" fillId="5" borderId="1" xfId="0" applyFont="1" applyFill="1" applyBorder="1" applyAlignment="1">
      <alignment horizontal="center" vertical="top" wrapText="1"/>
    </xf>
    <xf numFmtId="0" fontId="30" fillId="2" borderId="1"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10" fillId="9" borderId="1" xfId="0" applyFont="1" applyFill="1" applyBorder="1" applyAlignment="1">
      <alignment vertical="center" wrapText="1"/>
    </xf>
    <xf numFmtId="0" fontId="28" fillId="0" borderId="0" xfId="0" applyFont="1"/>
    <xf numFmtId="0" fontId="31" fillId="9" borderId="1" xfId="0" applyFont="1" applyFill="1" applyBorder="1" applyAlignment="1">
      <alignment vertical="center" wrapText="1"/>
    </xf>
    <xf numFmtId="0" fontId="0" fillId="10" borderId="0" xfId="0" applyFill="1"/>
    <xf numFmtId="0" fontId="29" fillId="0" borderId="0" xfId="0" applyFont="1"/>
    <xf numFmtId="0" fontId="10" fillId="2" borderId="0" xfId="0" applyFont="1" applyFill="1" applyAlignment="1">
      <alignment vertical="center" wrapText="1"/>
    </xf>
    <xf numFmtId="0" fontId="33" fillId="11" borderId="2" xfId="0" applyFont="1" applyFill="1" applyBorder="1" applyAlignment="1">
      <alignment vertical="top" wrapText="1"/>
    </xf>
    <xf numFmtId="0" fontId="34" fillId="5" borderId="1" xfId="0" applyFont="1" applyFill="1" applyBorder="1" applyAlignment="1">
      <alignment horizontal="left" vertical="center" wrapText="1"/>
    </xf>
    <xf numFmtId="4" fontId="2" fillId="5" borderId="1" xfId="0" applyNumberFormat="1" applyFont="1" applyFill="1" applyBorder="1" applyAlignment="1">
      <alignment horizontal="center" vertical="center"/>
    </xf>
    <xf numFmtId="4" fontId="2" fillId="5" borderId="1" xfId="0" applyNumberFormat="1" applyFont="1" applyFill="1" applyBorder="1" applyAlignment="1">
      <alignment horizontal="center" vertical="center" wrapText="1"/>
    </xf>
    <xf numFmtId="4" fontId="10" fillId="5" borderId="1" xfId="0" applyNumberFormat="1" applyFont="1" applyFill="1" applyBorder="1" applyAlignment="1">
      <alignment vertical="center" wrapText="1"/>
    </xf>
    <xf numFmtId="0" fontId="35" fillId="5" borderId="1" xfId="0" applyFont="1" applyFill="1" applyBorder="1" applyAlignment="1">
      <alignment horizontal="left" vertical="center" wrapText="1"/>
    </xf>
    <xf numFmtId="0" fontId="36" fillId="0" borderId="1" xfId="0" applyFont="1" applyBorder="1" applyAlignment="1">
      <alignment horizontal="justify" vertical="center"/>
    </xf>
    <xf numFmtId="0" fontId="37" fillId="0" borderId="1" xfId="0" applyFont="1" applyBorder="1" applyAlignment="1">
      <alignment vertical="top" wrapText="1"/>
    </xf>
    <xf numFmtId="0" fontId="25" fillId="5" borderId="2" xfId="0" applyFont="1" applyFill="1" applyBorder="1" applyAlignment="1">
      <alignment horizontal="center" vertical="center" wrapText="1"/>
    </xf>
    <xf numFmtId="0" fontId="24" fillId="5" borderId="2" xfId="0" applyFont="1" applyFill="1" applyBorder="1" applyAlignment="1">
      <alignment horizontal="center" vertical="center" wrapText="1"/>
    </xf>
    <xf numFmtId="0" fontId="37" fillId="0" borderId="1" xfId="0" applyFont="1" applyBorder="1" applyAlignment="1">
      <alignment horizontal="left" vertical="top" wrapText="1"/>
    </xf>
    <xf numFmtId="0" fontId="34" fillId="5" borderId="1" xfId="0" applyFont="1" applyFill="1" applyBorder="1" applyAlignment="1">
      <alignment horizontal="center" vertical="center" wrapText="1"/>
    </xf>
    <xf numFmtId="0" fontId="34" fillId="5" borderId="2" xfId="0" applyFont="1" applyFill="1" applyBorder="1" applyAlignment="1">
      <alignment horizontal="center" vertical="center" wrapText="1"/>
    </xf>
    <xf numFmtId="0" fontId="2" fillId="5" borderId="1" xfId="0" applyFont="1" applyFill="1" applyBorder="1" applyAlignment="1">
      <alignment horizontal="left" wrapText="1"/>
    </xf>
    <xf numFmtId="165" fontId="1" fillId="0" borderId="0" xfId="0" applyNumberFormat="1" applyFont="1" applyAlignment="1">
      <alignment horizontal="left" vertical="center"/>
    </xf>
    <xf numFmtId="2" fontId="2" fillId="5" borderId="1" xfId="0" applyNumberFormat="1" applyFont="1" applyFill="1" applyBorder="1"/>
    <xf numFmtId="0" fontId="2" fillId="5" borderId="1" xfId="0" applyFont="1" applyFill="1" applyBorder="1" applyAlignment="1">
      <alignment horizontal="left" vertical="top" wrapText="1"/>
    </xf>
    <xf numFmtId="165" fontId="11" fillId="5" borderId="1" xfId="0" applyNumberFormat="1" applyFont="1" applyFill="1" applyBorder="1" applyAlignment="1">
      <alignment horizontal="center" vertical="center" wrapText="1"/>
    </xf>
    <xf numFmtId="43" fontId="9" fillId="0" borderId="0" xfId="0" applyNumberFormat="1" applyFont="1" applyAlignment="1">
      <alignment horizontal="left" vertical="center"/>
    </xf>
    <xf numFmtId="43" fontId="5" fillId="5" borderId="1" xfId="0" applyNumberFormat="1" applyFont="1" applyFill="1" applyBorder="1" applyAlignment="1">
      <alignment horizontal="center" vertical="center" wrapText="1"/>
    </xf>
    <xf numFmtId="0" fontId="39" fillId="0" borderId="1" xfId="0" applyFont="1" applyBorder="1" applyAlignment="1">
      <alignment vertical="center" wrapText="1"/>
    </xf>
    <xf numFmtId="0" fontId="30" fillId="0" borderId="1" xfId="0" applyFont="1" applyBorder="1" applyAlignment="1">
      <alignment wrapText="1"/>
    </xf>
    <xf numFmtId="0" fontId="2" fillId="0" borderId="1" xfId="0" applyFont="1" applyBorder="1" applyAlignment="1">
      <alignment vertical="center" wrapText="1"/>
    </xf>
    <xf numFmtId="0" fontId="2" fillId="0" borderId="1" xfId="0" applyFont="1" applyBorder="1" applyAlignment="1">
      <alignment vertical="top" wrapText="1"/>
    </xf>
    <xf numFmtId="0" fontId="30" fillId="0" borderId="1" xfId="0" applyFont="1" applyBorder="1" applyAlignment="1">
      <alignment horizontal="left" vertical="center" wrapText="1"/>
    </xf>
    <xf numFmtId="0" fontId="30" fillId="0" borderId="7" xfId="0" applyFont="1" applyBorder="1" applyAlignment="1">
      <alignment horizontal="center" vertical="center" wrapText="1"/>
    </xf>
    <xf numFmtId="0" fontId="30" fillId="0" borderId="1" xfId="0" applyFont="1" applyBorder="1" applyAlignment="1">
      <alignment horizontal="center" vertical="center" wrapText="1"/>
    </xf>
    <xf numFmtId="0" fontId="5" fillId="0" borderId="0" xfId="0" applyFont="1" applyAlignment="1">
      <alignment horizontal="justify" vertical="center"/>
    </xf>
    <xf numFmtId="0" fontId="5" fillId="0" borderId="1" xfId="0" applyFont="1" applyBorder="1" applyAlignment="1">
      <alignment horizontal="left" vertical="top" wrapText="1"/>
    </xf>
    <xf numFmtId="0" fontId="40" fillId="5" borderId="1" xfId="0" applyFont="1" applyFill="1" applyBorder="1" applyAlignment="1">
      <alignment vertical="top" wrapText="1"/>
    </xf>
    <xf numFmtId="4" fontId="30" fillId="5" borderId="1" xfId="0" applyNumberFormat="1" applyFont="1" applyFill="1" applyBorder="1" applyAlignment="1">
      <alignment horizontal="center" vertical="center" wrapText="1"/>
    </xf>
    <xf numFmtId="49" fontId="41" fillId="5" borderId="1" xfId="0" applyNumberFormat="1" applyFont="1" applyFill="1" applyBorder="1" applyAlignment="1">
      <alignment horizontal="center" vertical="center" wrapText="1"/>
    </xf>
    <xf numFmtId="168" fontId="10" fillId="5" borderId="1" xfId="1" applyNumberFormat="1" applyFont="1" applyFill="1" applyBorder="1" applyAlignment="1">
      <alignment vertical="center" wrapText="1"/>
    </xf>
    <xf numFmtId="169" fontId="2" fillId="5" borderId="1" xfId="0" applyNumberFormat="1" applyFont="1" applyFill="1" applyBorder="1" applyAlignment="1">
      <alignment vertical="center" wrapText="1"/>
    </xf>
    <xf numFmtId="169" fontId="10" fillId="5" borderId="1" xfId="1" applyNumberFormat="1" applyFont="1" applyFill="1" applyBorder="1" applyAlignment="1">
      <alignment vertical="center" wrapText="1"/>
    </xf>
    <xf numFmtId="169" fontId="10" fillId="5" borderId="1" xfId="0" applyNumberFormat="1" applyFont="1" applyFill="1" applyBorder="1" applyAlignment="1">
      <alignment vertical="center" wrapText="1"/>
    </xf>
    <xf numFmtId="169" fontId="10" fillId="5" borderId="1" xfId="0" applyNumberFormat="1" applyFont="1" applyFill="1" applyBorder="1" applyAlignment="1">
      <alignment horizontal="center" vertical="center" wrapText="1"/>
    </xf>
    <xf numFmtId="169" fontId="2" fillId="4" borderId="1" xfId="0" applyNumberFormat="1" applyFont="1" applyFill="1" applyBorder="1" applyAlignment="1">
      <alignment horizontal="right" vertical="center" wrapText="1"/>
    </xf>
    <xf numFmtId="169" fontId="2" fillId="4" borderId="1" xfId="0" applyNumberFormat="1" applyFont="1" applyFill="1" applyBorder="1" applyAlignment="1">
      <alignment horizontal="center" vertical="center" wrapText="1"/>
    </xf>
    <xf numFmtId="164" fontId="2" fillId="7" borderId="1" xfId="0" applyNumberFormat="1" applyFont="1" applyFill="1" applyBorder="1" applyAlignment="1">
      <alignment horizontal="center" vertical="center" wrapText="1"/>
    </xf>
    <xf numFmtId="168" fontId="2" fillId="4" borderId="1" xfId="1" applyNumberFormat="1" applyFont="1" applyFill="1" applyBorder="1" applyAlignment="1">
      <alignment horizontal="center" vertical="center" wrapText="1"/>
    </xf>
    <xf numFmtId="164" fontId="2" fillId="4" borderId="1" xfId="0" applyNumberFormat="1" applyFont="1" applyFill="1" applyBorder="1" applyAlignment="1">
      <alignment horizontal="center" vertical="center" wrapText="1"/>
    </xf>
    <xf numFmtId="168" fontId="2" fillId="4" borderId="1" xfId="0" applyNumberFormat="1" applyFont="1" applyFill="1" applyBorder="1" applyAlignment="1">
      <alignment horizontal="center" vertical="center" wrapText="1"/>
    </xf>
    <xf numFmtId="0" fontId="2" fillId="4" borderId="1" xfId="0" applyFont="1" applyFill="1" applyBorder="1" applyAlignment="1">
      <alignment vertical="center" wrapText="1"/>
    </xf>
    <xf numFmtId="0" fontId="5" fillId="5" borderId="1" xfId="0" applyFont="1" applyFill="1" applyBorder="1" applyAlignment="1">
      <alignment vertical="center"/>
    </xf>
    <xf numFmtId="0" fontId="10" fillId="2" borderId="1" xfId="0" applyFont="1" applyFill="1" applyBorder="1" applyAlignment="1">
      <alignment vertical="center" wrapText="1"/>
    </xf>
    <xf numFmtId="166" fontId="10" fillId="4" borderId="1" xfId="1" applyNumberFormat="1" applyFont="1" applyFill="1" applyBorder="1" applyAlignment="1">
      <alignment horizontal="center" vertical="center" wrapText="1"/>
    </xf>
    <xf numFmtId="166" fontId="10" fillId="2" borderId="1" xfId="1" applyNumberFormat="1" applyFont="1" applyFill="1" applyBorder="1" applyAlignment="1">
      <alignment horizontal="center" vertical="center" wrapText="1"/>
    </xf>
    <xf numFmtId="166" fontId="10" fillId="7" borderId="1" xfId="1" applyNumberFormat="1" applyFont="1" applyFill="1" applyBorder="1" applyAlignment="1">
      <alignment horizontal="center" vertical="center" wrapText="1"/>
    </xf>
    <xf numFmtId="0" fontId="7" fillId="2" borderId="1" xfId="0" applyFont="1" applyFill="1" applyBorder="1" applyAlignment="1">
      <alignment vertical="center" wrapText="1"/>
    </xf>
    <xf numFmtId="166" fontId="7" fillId="4" borderId="1" xfId="1" applyNumberFormat="1" applyFont="1" applyFill="1" applyBorder="1" applyAlignment="1">
      <alignment horizontal="center" vertical="center" wrapText="1"/>
    </xf>
    <xf numFmtId="166" fontId="7" fillId="2" borderId="1" xfId="1" applyNumberFormat="1" applyFont="1" applyFill="1" applyBorder="1" applyAlignment="1">
      <alignment horizontal="center" vertical="center" wrapText="1"/>
    </xf>
    <xf numFmtId="166" fontId="7" fillId="7" borderId="1" xfId="1" applyNumberFormat="1" applyFont="1" applyFill="1" applyBorder="1" applyAlignment="1">
      <alignment horizontal="center" vertical="center" wrapText="1"/>
    </xf>
    <xf numFmtId="0" fontId="43" fillId="0" borderId="0" xfId="0" applyFont="1"/>
    <xf numFmtId="0" fontId="10" fillId="4"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43" fontId="2" fillId="5" borderId="1" xfId="1" applyFont="1" applyFill="1" applyBorder="1" applyAlignment="1">
      <alignment horizontal="center" vertical="center" wrapText="1"/>
    </xf>
    <xf numFmtId="43" fontId="10" fillId="5" borderId="1" xfId="1" applyFont="1" applyFill="1" applyBorder="1" applyAlignment="1">
      <alignment horizontal="center" vertical="center" wrapText="1"/>
    </xf>
    <xf numFmtId="43" fontId="10" fillId="4" borderId="1" xfId="1" applyFont="1" applyFill="1" applyBorder="1" applyAlignment="1">
      <alignment horizontal="center" vertical="center" wrapText="1"/>
    </xf>
    <xf numFmtId="43" fontId="10" fillId="2" borderId="1" xfId="1" applyFont="1" applyFill="1" applyBorder="1" applyAlignment="1">
      <alignment horizontal="center" vertical="center" wrapText="1"/>
    </xf>
    <xf numFmtId="0" fontId="5" fillId="5" borderId="1" xfId="0" applyFont="1" applyFill="1" applyBorder="1" applyAlignment="1">
      <alignment vertical="top" wrapText="1"/>
    </xf>
    <xf numFmtId="0" fontId="0" fillId="0" borderId="0" xfId="0" applyAlignment="1">
      <alignment horizontal="center" vertical="center"/>
    </xf>
    <xf numFmtId="43" fontId="10" fillId="7" borderId="1" xfId="1" applyFont="1" applyFill="1" applyBorder="1" applyAlignment="1">
      <alignment horizontal="center" vertical="center" wrapText="1"/>
    </xf>
    <xf numFmtId="43" fontId="44" fillId="4" borderId="1" xfId="1" applyFont="1" applyFill="1" applyBorder="1" applyAlignment="1">
      <alignment horizontal="center" vertical="center" wrapText="1"/>
    </xf>
    <xf numFmtId="43" fontId="44" fillId="2" borderId="1" xfId="1" applyFont="1" applyFill="1" applyBorder="1" applyAlignment="1">
      <alignment horizontal="center" vertical="center" wrapText="1"/>
    </xf>
    <xf numFmtId="43" fontId="44" fillId="7" borderId="1" xfId="1" applyFont="1" applyFill="1" applyBorder="1" applyAlignment="1">
      <alignment horizontal="center" vertical="center" wrapText="1"/>
    </xf>
    <xf numFmtId="43" fontId="7" fillId="4" borderId="1" xfId="1" applyFont="1" applyFill="1" applyBorder="1" applyAlignment="1">
      <alignment horizontal="center" vertical="center" wrapText="1"/>
    </xf>
    <xf numFmtId="43" fontId="7" fillId="2" borderId="1" xfId="1" applyFont="1" applyFill="1" applyBorder="1" applyAlignment="1">
      <alignment horizontal="center" vertical="center" wrapText="1"/>
    </xf>
    <xf numFmtId="43" fontId="7" fillId="7" borderId="1" xfId="1" applyFont="1" applyFill="1" applyBorder="1" applyAlignment="1">
      <alignment horizontal="center" vertical="center" wrapText="1"/>
    </xf>
    <xf numFmtId="43" fontId="2" fillId="2" borderId="1" xfId="1" applyFont="1" applyFill="1" applyBorder="1" applyAlignment="1">
      <alignment vertical="center" wrapText="1"/>
    </xf>
    <xf numFmtId="43" fontId="44" fillId="2" borderId="1" xfId="1" applyFont="1" applyFill="1" applyBorder="1" applyAlignment="1">
      <alignment vertical="center" wrapText="1"/>
    </xf>
    <xf numFmtId="43" fontId="10" fillId="2" borderId="1" xfId="1" applyFont="1" applyFill="1" applyBorder="1" applyAlignment="1">
      <alignment vertical="center" wrapText="1"/>
    </xf>
    <xf numFmtId="165" fontId="2" fillId="5" borderId="1" xfId="0" applyNumberFormat="1" applyFont="1" applyFill="1" applyBorder="1" applyAlignment="1">
      <alignment horizontal="center" vertical="center"/>
    </xf>
    <xf numFmtId="43" fontId="2" fillId="5" borderId="1" xfId="1" applyFont="1" applyFill="1" applyBorder="1" applyAlignment="1">
      <alignment horizontal="center" vertical="center"/>
    </xf>
    <xf numFmtId="164" fontId="10" fillId="7" borderId="1" xfId="0" applyNumberFormat="1" applyFont="1" applyFill="1" applyBorder="1" applyAlignment="1">
      <alignment horizontal="center" vertical="center" wrapText="1"/>
    </xf>
    <xf numFmtId="0" fontId="10" fillId="7" borderId="1" xfId="0" applyFont="1" applyFill="1" applyBorder="1" applyAlignment="1">
      <alignment horizontal="center" vertical="center" wrapText="1"/>
    </xf>
    <xf numFmtId="168" fontId="10" fillId="4" borderId="1" xfId="1" applyNumberFormat="1"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168" fontId="10" fillId="2" borderId="1" xfId="0" applyNumberFormat="1" applyFont="1" applyFill="1" applyBorder="1" applyAlignment="1">
      <alignment vertical="center" wrapText="1"/>
    </xf>
    <xf numFmtId="166" fontId="11" fillId="5" borderId="1" xfId="1" applyNumberFormat="1" applyFont="1" applyFill="1" applyBorder="1" applyAlignment="1">
      <alignment horizontal="center" vertical="center" wrapText="1"/>
    </xf>
    <xf numFmtId="166" fontId="11" fillId="4" borderId="1" xfId="1" applyNumberFormat="1" applyFont="1" applyFill="1" applyBorder="1" applyAlignment="1">
      <alignment horizontal="center" vertical="center" wrapText="1"/>
    </xf>
    <xf numFmtId="167" fontId="11" fillId="4" borderId="1" xfId="1" applyNumberFormat="1" applyFont="1" applyFill="1" applyBorder="1" applyAlignment="1">
      <alignment horizontal="center" vertical="center" wrapText="1"/>
    </xf>
    <xf numFmtId="4"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167" fontId="7" fillId="2" borderId="1" xfId="1" applyNumberFormat="1" applyFont="1" applyFill="1" applyBorder="1" applyAlignment="1">
      <alignment horizontal="center" vertical="center" wrapText="1"/>
    </xf>
    <xf numFmtId="3" fontId="7" fillId="2"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47" fillId="5" borderId="1" xfId="0" applyFont="1" applyFill="1" applyBorder="1" applyAlignment="1">
      <alignment vertical="center" wrapText="1"/>
    </xf>
    <xf numFmtId="0" fontId="48" fillId="0" borderId="1" xfId="0" applyFont="1" applyBorder="1" applyAlignment="1">
      <alignment horizontal="left" vertical="top" wrapText="1"/>
    </xf>
    <xf numFmtId="43" fontId="10" fillId="2" borderId="1" xfId="0" applyNumberFormat="1" applyFont="1" applyFill="1" applyBorder="1" applyAlignment="1">
      <alignment horizontal="center" vertical="center" wrapText="1"/>
    </xf>
    <xf numFmtId="43" fontId="2" fillId="12" borderId="1" xfId="1" applyFont="1" applyFill="1" applyBorder="1" applyAlignment="1">
      <alignment horizontal="center" vertical="center" wrapText="1"/>
    </xf>
    <xf numFmtId="43" fontId="29" fillId="0" borderId="0" xfId="1" applyFont="1"/>
    <xf numFmtId="4" fontId="10" fillId="4" borderId="1" xfId="0" applyNumberFormat="1" applyFont="1" applyFill="1" applyBorder="1" applyAlignment="1">
      <alignment horizontal="center" vertical="center" wrapText="1"/>
    </xf>
    <xf numFmtId="4" fontId="10" fillId="7" borderId="1" xfId="0" applyNumberFormat="1" applyFont="1" applyFill="1" applyBorder="1" applyAlignment="1">
      <alignment horizontal="center" vertical="center" wrapText="1"/>
    </xf>
    <xf numFmtId="4" fontId="10" fillId="2" borderId="1" xfId="0" applyNumberFormat="1" applyFont="1" applyFill="1" applyBorder="1" applyAlignment="1">
      <alignment horizontal="center" vertical="center" wrapText="1"/>
    </xf>
    <xf numFmtId="49" fontId="25" fillId="5" borderId="1" xfId="0" applyNumberFormat="1" applyFont="1" applyFill="1" applyBorder="1" applyAlignment="1">
      <alignment horizontal="center" vertical="center" wrapText="1"/>
    </xf>
    <xf numFmtId="43" fontId="25" fillId="5" borderId="1" xfId="1" applyFont="1" applyFill="1" applyBorder="1" applyAlignment="1">
      <alignment horizontal="center" vertical="center" wrapText="1"/>
    </xf>
    <xf numFmtId="43" fontId="25" fillId="5" borderId="2" xfId="1" applyFont="1" applyFill="1" applyBorder="1" applyAlignment="1">
      <alignment horizontal="center" vertical="center" wrapText="1"/>
    </xf>
    <xf numFmtId="166" fontId="49" fillId="4" borderId="1" xfId="1" applyNumberFormat="1" applyFont="1" applyFill="1" applyBorder="1" applyAlignment="1">
      <alignment horizontal="center" vertical="center" wrapText="1"/>
    </xf>
    <xf numFmtId="43" fontId="28" fillId="8" borderId="0" xfId="1" applyFont="1" applyFill="1"/>
    <xf numFmtId="0" fontId="28" fillId="8" borderId="0" xfId="0" applyFont="1" applyFill="1"/>
    <xf numFmtId="0" fontId="50" fillId="8" borderId="0" xfId="0" applyFont="1" applyFill="1"/>
    <xf numFmtId="0" fontId="24" fillId="5" borderId="2" xfId="0" applyFont="1" applyFill="1" applyBorder="1" applyAlignment="1">
      <alignment vertical="center" wrapText="1"/>
    </xf>
    <xf numFmtId="4" fontId="2" fillId="5" borderId="1" xfId="0" applyNumberFormat="1" applyFont="1" applyFill="1" applyBorder="1" applyAlignment="1">
      <alignment horizontal="right" vertical="center" wrapText="1"/>
    </xf>
    <xf numFmtId="4" fontId="25" fillId="5" borderId="1" xfId="0" applyNumberFormat="1" applyFont="1" applyFill="1" applyBorder="1" applyAlignment="1">
      <alignment horizontal="justify" vertical="center" wrapText="1"/>
    </xf>
    <xf numFmtId="0" fontId="32" fillId="5" borderId="1" xfId="0" applyFont="1" applyFill="1" applyBorder="1" applyAlignment="1">
      <alignment horizontal="center" vertical="center" wrapText="1"/>
    </xf>
    <xf numFmtId="0" fontId="32" fillId="5" borderId="1" xfId="0" applyFont="1" applyFill="1" applyBorder="1" applyAlignment="1">
      <alignment horizontal="left" vertical="center"/>
    </xf>
    <xf numFmtId="164" fontId="2" fillId="5" borderId="1" xfId="0" applyNumberFormat="1" applyFont="1" applyFill="1" applyBorder="1" applyAlignment="1">
      <alignment horizontal="center" vertical="center"/>
    </xf>
    <xf numFmtId="0" fontId="0" fillId="0" borderId="0" xfId="0" applyAlignment="1">
      <alignment wrapText="1"/>
    </xf>
    <xf numFmtId="0" fontId="2" fillId="5" borderId="1" xfId="0" applyFont="1" applyFill="1" applyBorder="1" applyAlignment="1">
      <alignment horizontal="left" vertical="top"/>
    </xf>
    <xf numFmtId="43" fontId="31" fillId="5" borderId="1" xfId="1" applyFont="1" applyFill="1" applyBorder="1" applyAlignment="1">
      <alignment vertical="center" wrapText="1"/>
    </xf>
    <xf numFmtId="43" fontId="11" fillId="5" borderId="1" xfId="1" applyFont="1" applyFill="1" applyBorder="1" applyAlignment="1">
      <alignment horizontal="center" vertical="center" wrapText="1"/>
    </xf>
    <xf numFmtId="43" fontId="2" fillId="5" borderId="1" xfId="1" applyFont="1" applyFill="1" applyBorder="1" applyAlignment="1">
      <alignment vertical="center"/>
    </xf>
    <xf numFmtId="0" fontId="5" fillId="5" borderId="1" xfId="0" applyFont="1" applyFill="1" applyBorder="1" applyAlignment="1">
      <alignment wrapText="1"/>
    </xf>
    <xf numFmtId="0" fontId="51" fillId="0" borderId="0" xfId="0" applyFont="1"/>
    <xf numFmtId="43" fontId="38" fillId="5" borderId="2" xfId="1" applyFont="1" applyFill="1" applyBorder="1" applyAlignment="1">
      <alignment horizontal="center" vertical="center" wrapText="1"/>
    </xf>
    <xf numFmtId="43" fontId="52" fillId="0" borderId="0" xfId="1" applyFont="1"/>
    <xf numFmtId="43" fontId="10" fillId="3" borderId="1" xfId="1" applyFont="1" applyFill="1" applyBorder="1" applyAlignment="1">
      <alignment horizontal="center" vertical="center" wrapText="1"/>
    </xf>
    <xf numFmtId="166" fontId="5" fillId="5" borderId="2" xfId="1" applyNumberFormat="1" applyFont="1" applyFill="1" applyBorder="1" applyAlignment="1">
      <alignment horizontal="center" vertical="center" wrapText="1"/>
    </xf>
    <xf numFmtId="0" fontId="53" fillId="5" borderId="1" xfId="0" applyFont="1" applyFill="1" applyBorder="1" applyAlignment="1">
      <alignment vertical="center" wrapText="1"/>
    </xf>
    <xf numFmtId="0" fontId="25" fillId="5" borderId="1" xfId="0" applyFont="1" applyFill="1" applyBorder="1" applyAlignment="1">
      <alignment vertical="center" wrapText="1"/>
    </xf>
    <xf numFmtId="43" fontId="2" fillId="5" borderId="1" xfId="0" applyNumberFormat="1" applyFont="1" applyFill="1" applyBorder="1"/>
    <xf numFmtId="43" fontId="25" fillId="5" borderId="11" xfId="1" applyFont="1" applyFill="1" applyBorder="1" applyAlignment="1">
      <alignment vertical="center" wrapText="1"/>
    </xf>
    <xf numFmtId="0" fontId="5" fillId="2"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43" fontId="38" fillId="3" borderId="1" xfId="1" applyFont="1" applyFill="1" applyBorder="1" applyAlignment="1">
      <alignment horizontal="center" vertical="center" wrapText="1"/>
    </xf>
    <xf numFmtId="43" fontId="38" fillId="7" borderId="1" xfId="1" applyFont="1" applyFill="1" applyBorder="1" applyAlignment="1">
      <alignment horizontal="center" vertical="center" wrapText="1"/>
    </xf>
    <xf numFmtId="0" fontId="0" fillId="6" borderId="0" xfId="0" applyFill="1"/>
    <xf numFmtId="166" fontId="5" fillId="5" borderId="1" xfId="1" applyNumberFormat="1" applyFont="1" applyFill="1" applyBorder="1" applyAlignment="1">
      <alignment horizontal="center" vertical="center" wrapText="1"/>
    </xf>
    <xf numFmtId="43" fontId="5" fillId="5" borderId="2" xfId="0" applyNumberFormat="1" applyFont="1" applyFill="1" applyBorder="1" applyAlignment="1">
      <alignment horizontal="center" vertical="center" wrapText="1"/>
    </xf>
    <xf numFmtId="43" fontId="2" fillId="7" borderId="1" xfId="0" applyNumberFormat="1" applyFont="1" applyFill="1" applyBorder="1" applyAlignment="1">
      <alignment horizontal="center" vertical="center" wrapText="1"/>
    </xf>
    <xf numFmtId="0" fontId="30" fillId="5" borderId="7" xfId="0" applyFont="1" applyFill="1" applyBorder="1" applyAlignment="1">
      <alignment horizontal="left" vertical="center" wrapText="1"/>
    </xf>
    <xf numFmtId="0" fontId="30" fillId="5" borderId="7" xfId="0" applyFont="1" applyFill="1" applyBorder="1" applyAlignment="1">
      <alignment horizontal="left" vertical="top" wrapText="1"/>
    </xf>
    <xf numFmtId="0" fontId="55" fillId="5" borderId="1" xfId="0" applyFont="1" applyFill="1" applyBorder="1" applyAlignment="1">
      <alignment horizontal="left" vertical="top" wrapText="1"/>
    </xf>
    <xf numFmtId="0" fontId="2" fillId="5" borderId="2" xfId="0" applyFont="1" applyFill="1" applyBorder="1" applyAlignment="1">
      <alignment horizontal="center" wrapText="1"/>
    </xf>
    <xf numFmtId="3" fontId="14" fillId="0" borderId="1" xfId="0" applyNumberFormat="1" applyFont="1" applyBorder="1" applyAlignment="1">
      <alignment vertical="center"/>
    </xf>
    <xf numFmtId="3" fontId="2" fillId="4" borderId="1" xfId="0" applyNumberFormat="1" applyFont="1" applyFill="1" applyBorder="1" applyAlignment="1">
      <alignment horizontal="center" vertical="center" wrapText="1"/>
    </xf>
    <xf numFmtId="3" fontId="2" fillId="5" borderId="1" xfId="0" applyNumberFormat="1" applyFont="1" applyFill="1" applyBorder="1" applyAlignment="1">
      <alignment vertical="center" wrapText="1"/>
    </xf>
    <xf numFmtId="3" fontId="0" fillId="0" borderId="0" xfId="0" applyNumberFormat="1"/>
    <xf numFmtId="164" fontId="2" fillId="5" borderId="1" xfId="0" applyNumberFormat="1" applyFont="1" applyFill="1" applyBorder="1"/>
    <xf numFmtId="165" fontId="2" fillId="4" borderId="1"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14" fillId="3" borderId="0" xfId="0" applyFont="1" applyFill="1"/>
    <xf numFmtId="166" fontId="31" fillId="5" borderId="1" xfId="1" applyNumberFormat="1" applyFont="1" applyFill="1" applyBorder="1" applyAlignment="1">
      <alignment vertical="center" wrapText="1"/>
    </xf>
    <xf numFmtId="165" fontId="14" fillId="0" borderId="0" xfId="0" applyNumberFormat="1" applyFont="1"/>
    <xf numFmtId="43" fontId="14" fillId="0" borderId="0" xfId="0" applyNumberFormat="1" applyFont="1"/>
    <xf numFmtId="0" fontId="2" fillId="5" borderId="0" xfId="0" applyFont="1" applyFill="1" applyAlignment="1">
      <alignment vertical="top" wrapText="1"/>
    </xf>
    <xf numFmtId="49" fontId="5" fillId="5" borderId="2" xfId="1" applyNumberFormat="1" applyFont="1" applyFill="1" applyBorder="1" applyAlignment="1">
      <alignment horizontal="center" vertical="center" wrapText="1"/>
    </xf>
    <xf numFmtId="43" fontId="5" fillId="2" borderId="1" xfId="1" applyFont="1" applyFill="1" applyBorder="1" applyAlignment="1">
      <alignment horizontal="center" vertical="center" wrapText="1"/>
    </xf>
    <xf numFmtId="0" fontId="5" fillId="4" borderId="1" xfId="1" applyNumberFormat="1" applyFont="1" applyFill="1" applyBorder="1" applyAlignment="1">
      <alignment horizontal="center" vertical="center"/>
    </xf>
    <xf numFmtId="43" fontId="2" fillId="4" borderId="1" xfId="1" applyFont="1" applyFill="1" applyBorder="1" applyAlignment="1">
      <alignment horizontal="center" vertical="center" wrapText="1"/>
    </xf>
    <xf numFmtId="43" fontId="10" fillId="3" borderId="4" xfId="1" applyFont="1" applyFill="1" applyBorder="1" applyAlignment="1">
      <alignment horizontal="center" vertical="center" wrapText="1"/>
    </xf>
    <xf numFmtId="43" fontId="10" fillId="3" borderId="5" xfId="1" applyFont="1" applyFill="1" applyBorder="1" applyAlignment="1">
      <alignment horizontal="center" vertical="center" wrapText="1"/>
    </xf>
    <xf numFmtId="43" fontId="10" fillId="3" borderId="6" xfId="1" applyFont="1" applyFill="1" applyBorder="1" applyAlignment="1">
      <alignment horizontal="center" vertical="center" wrapText="1"/>
    </xf>
    <xf numFmtId="43" fontId="5" fillId="7" borderId="1" xfId="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5" borderId="4"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center" vertical="top" wrapText="1"/>
    </xf>
    <xf numFmtId="0" fontId="2" fillId="5" borderId="7"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7" xfId="0" applyFont="1" applyFill="1" applyBorder="1" applyAlignment="1">
      <alignment horizontal="left" vertical="center" wrapText="1"/>
    </xf>
    <xf numFmtId="0" fontId="2" fillId="5" borderId="2" xfId="0" applyFont="1" applyFill="1" applyBorder="1" applyAlignment="1">
      <alignment horizontal="left" vertical="center" wrapText="1"/>
    </xf>
    <xf numFmtId="0" fontId="2" fillId="5" borderId="7" xfId="0" applyFont="1" applyFill="1" applyBorder="1" applyAlignment="1">
      <alignment horizontal="center" wrapText="1"/>
    </xf>
    <xf numFmtId="0" fontId="2" fillId="5" borderId="2" xfId="0" applyFont="1" applyFill="1" applyBorder="1" applyAlignment="1">
      <alignment horizontal="center" wrapText="1"/>
    </xf>
    <xf numFmtId="0" fontId="2" fillId="5" borderId="1" xfId="0" applyFont="1" applyFill="1" applyBorder="1" applyAlignment="1">
      <alignment horizontal="center" wrapText="1"/>
    </xf>
    <xf numFmtId="0" fontId="30" fillId="5" borderId="3" xfId="0" applyFont="1" applyFill="1" applyBorder="1" applyAlignment="1">
      <alignment horizontal="center" vertical="center"/>
    </xf>
    <xf numFmtId="0" fontId="30" fillId="5" borderId="0" xfId="0" applyFont="1" applyFill="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top" wrapText="1"/>
    </xf>
    <xf numFmtId="0" fontId="11" fillId="7" borderId="1" xfId="0" applyFont="1" applyFill="1" applyBorder="1" applyAlignment="1">
      <alignment horizontal="center" vertical="center" wrapText="1"/>
    </xf>
    <xf numFmtId="0" fontId="11" fillId="5" borderId="4" xfId="0" applyFont="1" applyFill="1" applyBorder="1" applyAlignment="1">
      <alignment horizontal="center" vertical="center"/>
    </xf>
    <xf numFmtId="0" fontId="11" fillId="5" borderId="5" xfId="0" applyFont="1" applyFill="1" applyBorder="1" applyAlignment="1">
      <alignment horizontal="center" vertical="center"/>
    </xf>
    <xf numFmtId="0" fontId="11" fillId="5" borderId="6" xfId="0" applyFont="1" applyFill="1" applyBorder="1" applyAlignment="1">
      <alignment horizontal="center" vertical="center"/>
    </xf>
    <xf numFmtId="0" fontId="11" fillId="2"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43" fontId="38" fillId="3" borderId="4" xfId="1" applyFont="1" applyFill="1" applyBorder="1" applyAlignment="1">
      <alignment horizontal="center" vertical="center" wrapText="1"/>
    </xf>
    <xf numFmtId="43" fontId="38" fillId="3" borderId="5" xfId="1" applyFont="1" applyFill="1" applyBorder="1" applyAlignment="1">
      <alignment horizontal="center" vertical="center" wrapText="1"/>
    </xf>
    <xf numFmtId="43" fontId="38" fillId="3" borderId="6" xfId="1" applyFont="1" applyFill="1" applyBorder="1" applyAlignment="1">
      <alignment horizontal="center" vertical="center" wrapText="1"/>
    </xf>
    <xf numFmtId="0" fontId="5" fillId="4" borderId="1" xfId="0" applyFont="1" applyFill="1" applyBorder="1" applyAlignment="1">
      <alignment horizontal="center" vertical="center"/>
    </xf>
    <xf numFmtId="0" fontId="2" fillId="5" borderId="8"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0" borderId="9" xfId="0" applyBorder="1"/>
    <xf numFmtId="0" fontId="30" fillId="5" borderId="7"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5" fillId="5" borderId="7" xfId="0" applyFont="1" applyFill="1" applyBorder="1" applyAlignment="1">
      <alignment horizontal="center" vertical="top" wrapText="1"/>
    </xf>
    <xf numFmtId="0" fontId="5" fillId="5" borderId="2" xfId="0" applyFont="1" applyFill="1" applyBorder="1" applyAlignment="1">
      <alignment horizontal="center" vertical="top" wrapText="1"/>
    </xf>
    <xf numFmtId="0" fontId="5" fillId="5" borderId="10" xfId="0" applyFont="1" applyFill="1" applyBorder="1" applyAlignment="1">
      <alignment horizontal="center" vertical="top" wrapText="1"/>
    </xf>
    <xf numFmtId="0" fontId="5" fillId="5" borderId="11" xfId="0" applyFont="1" applyFill="1" applyBorder="1" applyAlignment="1">
      <alignment horizontal="center" vertical="top" wrapText="1"/>
    </xf>
    <xf numFmtId="0" fontId="2" fillId="5" borderId="4"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center" wrapText="1"/>
    </xf>
    <xf numFmtId="0" fontId="8" fillId="0" borderId="0" xfId="0" applyFont="1" applyAlignment="1">
      <alignment horizontal="center" vertical="center"/>
    </xf>
    <xf numFmtId="0" fontId="4" fillId="0" borderId="0" xfId="0"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center" vertical="center"/>
    </xf>
    <xf numFmtId="0" fontId="9" fillId="0" borderId="0" xfId="0" applyFont="1" applyAlignment="1">
      <alignment horizontal="lef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2.xml"/><Relationship Id="rId62"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5.xml"/><Relationship Id="rId61"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checked="Checked"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checked="Checked"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checked="Checked"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checked="Checked"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checked="Checked"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checked="Checked"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checked="Checked"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checked="Checked"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checked="Checked"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checked="Checked"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checked="Checked"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checked="Checked"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checked="Checked"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checked="Checked"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checked="Checked"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checked="Checked"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44</xdr:row>
          <xdr:rowOff>0</xdr:rowOff>
        </xdr:from>
        <xdr:to>
          <xdr:col>2</xdr:col>
          <xdr:colOff>1171575</xdr:colOff>
          <xdr:row>45</xdr:row>
          <xdr:rowOff>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171450</xdr:rowOff>
        </xdr:from>
        <xdr:to>
          <xdr:col>3</xdr:col>
          <xdr:colOff>238125</xdr:colOff>
          <xdr:row>41</xdr:row>
          <xdr:rowOff>190500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1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28575</xdr:rowOff>
        </xdr:from>
        <xdr:to>
          <xdr:col>3</xdr:col>
          <xdr:colOff>238125</xdr:colOff>
          <xdr:row>44</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45</xdr:row>
          <xdr:rowOff>9525</xdr:rowOff>
        </xdr:from>
        <xdr:to>
          <xdr:col>2</xdr:col>
          <xdr:colOff>571500</xdr:colOff>
          <xdr:row>46</xdr:row>
          <xdr:rowOff>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0</xdr:rowOff>
        </xdr:from>
        <xdr:to>
          <xdr:col>2</xdr:col>
          <xdr:colOff>1171575</xdr:colOff>
          <xdr:row>45</xdr:row>
          <xdr:rowOff>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171450</xdr:rowOff>
        </xdr:from>
        <xdr:to>
          <xdr:col>3</xdr:col>
          <xdr:colOff>238125</xdr:colOff>
          <xdr:row>41</xdr:row>
          <xdr:rowOff>190500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1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28575</xdr:rowOff>
        </xdr:from>
        <xdr:to>
          <xdr:col>3</xdr:col>
          <xdr:colOff>238125</xdr:colOff>
          <xdr:row>44</xdr:row>
          <xdr:rowOff>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45</xdr:row>
          <xdr:rowOff>9525</xdr:rowOff>
        </xdr:from>
        <xdr:to>
          <xdr:col>2</xdr:col>
          <xdr:colOff>571500</xdr:colOff>
          <xdr:row>46</xdr:row>
          <xdr:rowOff>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44</xdr:row>
          <xdr:rowOff>0</xdr:rowOff>
        </xdr:from>
        <xdr:to>
          <xdr:col>2</xdr:col>
          <xdr:colOff>1171575</xdr:colOff>
          <xdr:row>45</xdr:row>
          <xdr:rowOff>28575</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41</xdr:row>
          <xdr:rowOff>171450</xdr:rowOff>
        </xdr:from>
        <xdr:to>
          <xdr:col>3</xdr:col>
          <xdr:colOff>238125</xdr:colOff>
          <xdr:row>42</xdr:row>
          <xdr:rowOff>66675</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1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43</xdr:row>
          <xdr:rowOff>28575</xdr:rowOff>
        </xdr:from>
        <xdr:to>
          <xdr:col>3</xdr:col>
          <xdr:colOff>238125</xdr:colOff>
          <xdr:row>44</xdr:row>
          <xdr:rowOff>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1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45</xdr:row>
          <xdr:rowOff>9525</xdr:rowOff>
        </xdr:from>
        <xdr:to>
          <xdr:col>2</xdr:col>
          <xdr:colOff>571500</xdr:colOff>
          <xdr:row>46</xdr:row>
          <xdr:rowOff>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1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26</xdr:row>
          <xdr:rowOff>0</xdr:rowOff>
        </xdr:from>
        <xdr:to>
          <xdr:col>2</xdr:col>
          <xdr:colOff>1009650</xdr:colOff>
          <xdr:row>27</xdr:row>
          <xdr:rowOff>38100</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0A00-000001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171450</xdr:rowOff>
        </xdr:from>
        <xdr:to>
          <xdr:col>2</xdr:col>
          <xdr:colOff>1762125</xdr:colOff>
          <xdr:row>25</xdr:row>
          <xdr:rowOff>47625</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0A00-000002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1762125</xdr:colOff>
          <xdr:row>26</xdr:row>
          <xdr:rowOff>9525</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0A00-000003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9525</xdr:rowOff>
        </xdr:from>
        <xdr:to>
          <xdr:col>2</xdr:col>
          <xdr:colOff>409575</xdr:colOff>
          <xdr:row>28</xdr:row>
          <xdr:rowOff>9525</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0A00-000004A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50</xdr:row>
          <xdr:rowOff>0</xdr:rowOff>
        </xdr:from>
        <xdr:to>
          <xdr:col>2</xdr:col>
          <xdr:colOff>1085850</xdr:colOff>
          <xdr:row>51</xdr:row>
          <xdr:rowOff>38100</xdr:rowOff>
        </xdr:to>
        <xdr:sp macro="" textlink="">
          <xdr:nvSpPr>
            <xdr:cNvPr id="199681" name="Check Box 1" hidden="1">
              <a:extLst>
                <a:ext uri="{63B3BB69-23CF-44E3-9099-C40C66FF867C}">
                  <a14:compatExt spid="_x0000_s199681"/>
                </a:ext>
                <a:ext uri="{FF2B5EF4-FFF2-40B4-BE49-F238E27FC236}">
                  <a16:creationId xmlns:a16="http://schemas.microsoft.com/office/drawing/2014/main" id="{00000000-0008-0000-0B00-0000010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171450</xdr:rowOff>
        </xdr:from>
        <xdr:to>
          <xdr:col>3</xdr:col>
          <xdr:colOff>285750</xdr:colOff>
          <xdr:row>49</xdr:row>
          <xdr:rowOff>47625</xdr:rowOff>
        </xdr:to>
        <xdr:sp macro="" textlink="">
          <xdr:nvSpPr>
            <xdr:cNvPr id="199682" name="Check Box 2" hidden="1">
              <a:extLst>
                <a:ext uri="{63B3BB69-23CF-44E3-9099-C40C66FF867C}">
                  <a14:compatExt spid="_x0000_s199682"/>
                </a:ext>
                <a:ext uri="{FF2B5EF4-FFF2-40B4-BE49-F238E27FC236}">
                  <a16:creationId xmlns:a16="http://schemas.microsoft.com/office/drawing/2014/main" id="{00000000-0008-0000-0B00-0000020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49</xdr:row>
          <xdr:rowOff>28575</xdr:rowOff>
        </xdr:from>
        <xdr:to>
          <xdr:col>3</xdr:col>
          <xdr:colOff>285750</xdr:colOff>
          <xdr:row>50</xdr:row>
          <xdr:rowOff>9525</xdr:rowOff>
        </xdr:to>
        <xdr:sp macro="" textlink="">
          <xdr:nvSpPr>
            <xdr:cNvPr id="199683" name="Check Box 3" hidden="1">
              <a:extLst>
                <a:ext uri="{63B3BB69-23CF-44E3-9099-C40C66FF867C}">
                  <a14:compatExt spid="_x0000_s199683"/>
                </a:ext>
                <a:ext uri="{FF2B5EF4-FFF2-40B4-BE49-F238E27FC236}">
                  <a16:creationId xmlns:a16="http://schemas.microsoft.com/office/drawing/2014/main" id="{00000000-0008-0000-0B00-0000030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51</xdr:row>
          <xdr:rowOff>9525</xdr:rowOff>
        </xdr:from>
        <xdr:to>
          <xdr:col>2</xdr:col>
          <xdr:colOff>485775</xdr:colOff>
          <xdr:row>52</xdr:row>
          <xdr:rowOff>9525</xdr:rowOff>
        </xdr:to>
        <xdr:sp macro="" textlink="">
          <xdr:nvSpPr>
            <xdr:cNvPr id="199684" name="Check Box 4" hidden="1">
              <a:extLst>
                <a:ext uri="{63B3BB69-23CF-44E3-9099-C40C66FF867C}">
                  <a14:compatExt spid="_x0000_s199684"/>
                </a:ext>
                <a:ext uri="{FF2B5EF4-FFF2-40B4-BE49-F238E27FC236}">
                  <a16:creationId xmlns:a16="http://schemas.microsoft.com/office/drawing/2014/main" id="{00000000-0008-0000-0B00-0000040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25</xdr:row>
          <xdr:rowOff>0</xdr:rowOff>
        </xdr:from>
        <xdr:to>
          <xdr:col>2</xdr:col>
          <xdr:colOff>1171575</xdr:colOff>
          <xdr:row>26</xdr:row>
          <xdr:rowOff>28575</xdr:rowOff>
        </xdr:to>
        <xdr:sp macro="" textlink="">
          <xdr:nvSpPr>
            <xdr:cNvPr id="169985" name="Check Box 1" hidden="1">
              <a:extLst>
                <a:ext uri="{63B3BB69-23CF-44E3-9099-C40C66FF867C}">
                  <a14:compatExt spid="_x0000_s169985"/>
                </a:ext>
                <a:ext uri="{FF2B5EF4-FFF2-40B4-BE49-F238E27FC236}">
                  <a16:creationId xmlns:a16="http://schemas.microsoft.com/office/drawing/2014/main" id="{00000000-0008-0000-0C00-000001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171450</xdr:rowOff>
        </xdr:from>
        <xdr:to>
          <xdr:col>3</xdr:col>
          <xdr:colOff>266700</xdr:colOff>
          <xdr:row>24</xdr:row>
          <xdr:rowOff>28575</xdr:rowOff>
        </xdr:to>
        <xdr:sp macro="" textlink="">
          <xdr:nvSpPr>
            <xdr:cNvPr id="169986" name="Check Box 2" hidden="1">
              <a:extLst>
                <a:ext uri="{63B3BB69-23CF-44E3-9099-C40C66FF867C}">
                  <a14:compatExt spid="_x0000_s169986"/>
                </a:ext>
                <a:ext uri="{FF2B5EF4-FFF2-40B4-BE49-F238E27FC236}">
                  <a16:creationId xmlns:a16="http://schemas.microsoft.com/office/drawing/2014/main" id="{00000000-0008-0000-0C00-000002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3</xdr:col>
          <xdr:colOff>266700</xdr:colOff>
          <xdr:row>25</xdr:row>
          <xdr:rowOff>0</xdr:rowOff>
        </xdr:to>
        <xdr:sp macro="" textlink="">
          <xdr:nvSpPr>
            <xdr:cNvPr id="169987" name="Check Box 3" hidden="1">
              <a:extLst>
                <a:ext uri="{63B3BB69-23CF-44E3-9099-C40C66FF867C}">
                  <a14:compatExt spid="_x0000_s169987"/>
                </a:ext>
                <a:ext uri="{FF2B5EF4-FFF2-40B4-BE49-F238E27FC236}">
                  <a16:creationId xmlns:a16="http://schemas.microsoft.com/office/drawing/2014/main" id="{00000000-0008-0000-0C00-000003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9525</xdr:rowOff>
        </xdr:from>
        <xdr:to>
          <xdr:col>2</xdr:col>
          <xdr:colOff>571500</xdr:colOff>
          <xdr:row>27</xdr:row>
          <xdr:rowOff>0</xdr:rowOff>
        </xdr:to>
        <xdr:sp macro="" textlink="">
          <xdr:nvSpPr>
            <xdr:cNvPr id="169988" name="Check Box 4" hidden="1">
              <a:extLst>
                <a:ext uri="{63B3BB69-23CF-44E3-9099-C40C66FF867C}">
                  <a14:compatExt spid="_x0000_s169988"/>
                </a:ext>
                <a:ext uri="{FF2B5EF4-FFF2-40B4-BE49-F238E27FC236}">
                  <a16:creationId xmlns:a16="http://schemas.microsoft.com/office/drawing/2014/main" id="{00000000-0008-0000-0C00-0000049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38</xdr:row>
          <xdr:rowOff>0</xdr:rowOff>
        </xdr:from>
        <xdr:to>
          <xdr:col>2</xdr:col>
          <xdr:colOff>1171575</xdr:colOff>
          <xdr:row>39</xdr:row>
          <xdr:rowOff>38100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E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171450</xdr:rowOff>
        </xdr:from>
        <xdr:to>
          <xdr:col>3</xdr:col>
          <xdr:colOff>266700</xdr:colOff>
          <xdr:row>37</xdr:row>
          <xdr:rowOff>57150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E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28575</xdr:rowOff>
        </xdr:from>
        <xdr:to>
          <xdr:col>3</xdr:col>
          <xdr:colOff>266700</xdr:colOff>
          <xdr:row>38</xdr:row>
          <xdr:rowOff>9525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E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39</xdr:row>
          <xdr:rowOff>9525</xdr:rowOff>
        </xdr:from>
        <xdr:to>
          <xdr:col>2</xdr:col>
          <xdr:colOff>571500</xdr:colOff>
          <xdr:row>40</xdr:row>
          <xdr:rowOff>9525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E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25</xdr:row>
          <xdr:rowOff>0</xdr:rowOff>
        </xdr:from>
        <xdr:to>
          <xdr:col>2</xdr:col>
          <xdr:colOff>1085850</xdr:colOff>
          <xdr:row>26</xdr:row>
          <xdr:rowOff>38100</xdr:rowOff>
        </xdr:to>
        <xdr:sp macro="" textlink="">
          <xdr:nvSpPr>
            <xdr:cNvPr id="230401" name="Check Box 1" hidden="1">
              <a:extLst>
                <a:ext uri="{63B3BB69-23CF-44E3-9099-C40C66FF867C}">
                  <a14:compatExt spid="_x0000_s230401"/>
                </a:ext>
                <a:ext uri="{FF2B5EF4-FFF2-40B4-BE49-F238E27FC236}">
                  <a16:creationId xmlns:a16="http://schemas.microsoft.com/office/drawing/2014/main" id="{00000000-0008-0000-0F00-000001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171450</xdr:rowOff>
        </xdr:from>
        <xdr:to>
          <xdr:col>3</xdr:col>
          <xdr:colOff>285750</xdr:colOff>
          <xdr:row>24</xdr:row>
          <xdr:rowOff>47625</xdr:rowOff>
        </xdr:to>
        <xdr:sp macro="" textlink="">
          <xdr:nvSpPr>
            <xdr:cNvPr id="230402" name="Check Box 2" hidden="1">
              <a:extLst>
                <a:ext uri="{63B3BB69-23CF-44E3-9099-C40C66FF867C}">
                  <a14:compatExt spid="_x0000_s230402"/>
                </a:ext>
                <a:ext uri="{FF2B5EF4-FFF2-40B4-BE49-F238E27FC236}">
                  <a16:creationId xmlns:a16="http://schemas.microsoft.com/office/drawing/2014/main" id="{00000000-0008-0000-0F00-000002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3</xdr:col>
          <xdr:colOff>285750</xdr:colOff>
          <xdr:row>25</xdr:row>
          <xdr:rowOff>9525</xdr:rowOff>
        </xdr:to>
        <xdr:sp macro="" textlink="">
          <xdr:nvSpPr>
            <xdr:cNvPr id="230403" name="Check Box 3" hidden="1">
              <a:extLst>
                <a:ext uri="{63B3BB69-23CF-44E3-9099-C40C66FF867C}">
                  <a14:compatExt spid="_x0000_s230403"/>
                </a:ext>
                <a:ext uri="{FF2B5EF4-FFF2-40B4-BE49-F238E27FC236}">
                  <a16:creationId xmlns:a16="http://schemas.microsoft.com/office/drawing/2014/main" id="{00000000-0008-0000-0F00-000003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9525</xdr:rowOff>
        </xdr:from>
        <xdr:to>
          <xdr:col>2</xdr:col>
          <xdr:colOff>485775</xdr:colOff>
          <xdr:row>27</xdr:row>
          <xdr:rowOff>9525</xdr:rowOff>
        </xdr:to>
        <xdr:sp macro="" textlink="">
          <xdr:nvSpPr>
            <xdr:cNvPr id="230404" name="Check Box 4" hidden="1">
              <a:extLst>
                <a:ext uri="{63B3BB69-23CF-44E3-9099-C40C66FF867C}">
                  <a14:compatExt spid="_x0000_s230404"/>
                </a:ext>
                <a:ext uri="{FF2B5EF4-FFF2-40B4-BE49-F238E27FC236}">
                  <a16:creationId xmlns:a16="http://schemas.microsoft.com/office/drawing/2014/main" id="{00000000-0008-0000-0F00-0000048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25</xdr:row>
          <xdr:rowOff>0</xdr:rowOff>
        </xdr:from>
        <xdr:to>
          <xdr:col>2</xdr:col>
          <xdr:colOff>1085850</xdr:colOff>
          <xdr:row>26</xdr:row>
          <xdr:rowOff>38100</xdr:rowOff>
        </xdr:to>
        <xdr:sp macro="" textlink="">
          <xdr:nvSpPr>
            <xdr:cNvPr id="234497" name="Check Box 1" hidden="1">
              <a:extLst>
                <a:ext uri="{63B3BB69-23CF-44E3-9099-C40C66FF867C}">
                  <a14:compatExt spid="_x0000_s234497"/>
                </a:ext>
                <a:ext uri="{FF2B5EF4-FFF2-40B4-BE49-F238E27FC236}">
                  <a16:creationId xmlns:a16="http://schemas.microsoft.com/office/drawing/2014/main" id="{00000000-0008-0000-1000-0000019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171450</xdr:rowOff>
        </xdr:from>
        <xdr:to>
          <xdr:col>3</xdr:col>
          <xdr:colOff>285750</xdr:colOff>
          <xdr:row>24</xdr:row>
          <xdr:rowOff>47625</xdr:rowOff>
        </xdr:to>
        <xdr:sp macro="" textlink="">
          <xdr:nvSpPr>
            <xdr:cNvPr id="234498" name="Check Box 2" hidden="1">
              <a:extLst>
                <a:ext uri="{63B3BB69-23CF-44E3-9099-C40C66FF867C}">
                  <a14:compatExt spid="_x0000_s234498"/>
                </a:ext>
                <a:ext uri="{FF2B5EF4-FFF2-40B4-BE49-F238E27FC236}">
                  <a16:creationId xmlns:a16="http://schemas.microsoft.com/office/drawing/2014/main" id="{00000000-0008-0000-1000-0000029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3</xdr:col>
          <xdr:colOff>285750</xdr:colOff>
          <xdr:row>25</xdr:row>
          <xdr:rowOff>9525</xdr:rowOff>
        </xdr:to>
        <xdr:sp macro="" textlink="">
          <xdr:nvSpPr>
            <xdr:cNvPr id="234499" name="Check Box 3" hidden="1">
              <a:extLst>
                <a:ext uri="{63B3BB69-23CF-44E3-9099-C40C66FF867C}">
                  <a14:compatExt spid="_x0000_s234499"/>
                </a:ext>
                <a:ext uri="{FF2B5EF4-FFF2-40B4-BE49-F238E27FC236}">
                  <a16:creationId xmlns:a16="http://schemas.microsoft.com/office/drawing/2014/main" id="{00000000-0008-0000-1000-0000039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9525</xdr:rowOff>
        </xdr:from>
        <xdr:to>
          <xdr:col>2</xdr:col>
          <xdr:colOff>485775</xdr:colOff>
          <xdr:row>27</xdr:row>
          <xdr:rowOff>9525</xdr:rowOff>
        </xdr:to>
        <xdr:sp macro="" textlink="">
          <xdr:nvSpPr>
            <xdr:cNvPr id="234500" name="Check Box 4" hidden="1">
              <a:extLst>
                <a:ext uri="{63B3BB69-23CF-44E3-9099-C40C66FF867C}">
                  <a14:compatExt spid="_x0000_s234500"/>
                </a:ext>
                <a:ext uri="{FF2B5EF4-FFF2-40B4-BE49-F238E27FC236}">
                  <a16:creationId xmlns:a16="http://schemas.microsoft.com/office/drawing/2014/main" id="{00000000-0008-0000-1000-00000494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29</xdr:row>
          <xdr:rowOff>0</xdr:rowOff>
        </xdr:from>
        <xdr:to>
          <xdr:col>2</xdr:col>
          <xdr:colOff>1171575</xdr:colOff>
          <xdr:row>30</xdr:row>
          <xdr:rowOff>38100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1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3</xdr:col>
          <xdr:colOff>266700</xdr:colOff>
          <xdr:row>29</xdr:row>
          <xdr:rowOff>9525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1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9525</xdr:rowOff>
        </xdr:from>
        <xdr:to>
          <xdr:col>2</xdr:col>
          <xdr:colOff>571500</xdr:colOff>
          <xdr:row>31</xdr:row>
          <xdr:rowOff>9525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1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0</xdr:rowOff>
        </xdr:from>
        <xdr:to>
          <xdr:col>2</xdr:col>
          <xdr:colOff>1171575</xdr:colOff>
          <xdr:row>30</xdr:row>
          <xdr:rowOff>28575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1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171450</xdr:rowOff>
        </xdr:from>
        <xdr:to>
          <xdr:col>3</xdr:col>
          <xdr:colOff>266700</xdr:colOff>
          <xdr:row>28</xdr:row>
          <xdr:rowOff>28575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1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3</xdr:col>
          <xdr:colOff>266700</xdr:colOff>
          <xdr:row>29</xdr:row>
          <xdr:rowOff>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1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9525</xdr:rowOff>
        </xdr:from>
        <xdr:to>
          <xdr:col>2</xdr:col>
          <xdr:colOff>571500</xdr:colOff>
          <xdr:row>31</xdr:row>
          <xdr:rowOff>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11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0</xdr:rowOff>
        </xdr:from>
        <xdr:to>
          <xdr:col>2</xdr:col>
          <xdr:colOff>1171575</xdr:colOff>
          <xdr:row>30</xdr:row>
          <xdr:rowOff>28575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11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171450</xdr:rowOff>
        </xdr:from>
        <xdr:to>
          <xdr:col>3</xdr:col>
          <xdr:colOff>266700</xdr:colOff>
          <xdr:row>28</xdr:row>
          <xdr:rowOff>28575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11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3</xdr:col>
          <xdr:colOff>266700</xdr:colOff>
          <xdr:row>29</xdr:row>
          <xdr:rowOff>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11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9525</xdr:rowOff>
        </xdr:from>
        <xdr:to>
          <xdr:col>2</xdr:col>
          <xdr:colOff>571500</xdr:colOff>
          <xdr:row>31</xdr:row>
          <xdr:rowOff>0</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11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29</xdr:row>
          <xdr:rowOff>0</xdr:rowOff>
        </xdr:from>
        <xdr:to>
          <xdr:col>2</xdr:col>
          <xdr:colOff>1171575</xdr:colOff>
          <xdr:row>30</xdr:row>
          <xdr:rowOff>38100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1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1924050</xdr:colOff>
          <xdr:row>29</xdr:row>
          <xdr:rowOff>9525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1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9525</xdr:rowOff>
        </xdr:from>
        <xdr:to>
          <xdr:col>2</xdr:col>
          <xdr:colOff>571500</xdr:colOff>
          <xdr:row>31</xdr:row>
          <xdr:rowOff>9525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1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29</xdr:row>
          <xdr:rowOff>0</xdr:rowOff>
        </xdr:from>
        <xdr:to>
          <xdr:col>2</xdr:col>
          <xdr:colOff>666750</xdr:colOff>
          <xdr:row>30</xdr:row>
          <xdr:rowOff>28575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13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0</xdr:rowOff>
        </xdr:from>
        <xdr:to>
          <xdr:col>2</xdr:col>
          <xdr:colOff>1419225</xdr:colOff>
          <xdr:row>28</xdr:row>
          <xdr:rowOff>66675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13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9525</xdr:rowOff>
        </xdr:from>
        <xdr:to>
          <xdr:col>2</xdr:col>
          <xdr:colOff>66675</xdr:colOff>
          <xdr:row>31</xdr:row>
          <xdr:rowOff>9525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13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27</xdr:row>
          <xdr:rowOff>0</xdr:rowOff>
        </xdr:from>
        <xdr:to>
          <xdr:col>2</xdr:col>
          <xdr:colOff>1171575</xdr:colOff>
          <xdr:row>28</xdr:row>
          <xdr:rowOff>38100</xdr:rowOff>
        </xdr:to>
        <xdr:sp macro="" textlink="">
          <xdr:nvSpPr>
            <xdr:cNvPr id="66561" name="Check Box 1" hidden="1">
              <a:extLst>
                <a:ext uri="{63B3BB69-23CF-44E3-9099-C40C66FF867C}">
                  <a14:compatExt spid="_x0000_s66561"/>
                </a:ext>
                <a:ext uri="{FF2B5EF4-FFF2-40B4-BE49-F238E27FC236}">
                  <a16:creationId xmlns:a16="http://schemas.microsoft.com/office/drawing/2014/main" id="{00000000-0008-0000-1400-000001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171450</xdr:rowOff>
        </xdr:from>
        <xdr:to>
          <xdr:col>2</xdr:col>
          <xdr:colOff>1924050</xdr:colOff>
          <xdr:row>26</xdr:row>
          <xdr:rowOff>47625</xdr:rowOff>
        </xdr:to>
        <xdr:sp macro="" textlink="">
          <xdr:nvSpPr>
            <xdr:cNvPr id="66562" name="Check Box 2" hidden="1">
              <a:extLst>
                <a:ext uri="{63B3BB69-23CF-44E3-9099-C40C66FF867C}">
                  <a14:compatExt spid="_x0000_s66562"/>
                </a:ext>
                <a:ext uri="{FF2B5EF4-FFF2-40B4-BE49-F238E27FC236}">
                  <a16:creationId xmlns:a16="http://schemas.microsoft.com/office/drawing/2014/main" id="{00000000-0008-0000-1400-000002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1924050</xdr:colOff>
          <xdr:row>27</xdr:row>
          <xdr:rowOff>9525</xdr:rowOff>
        </xdr:to>
        <xdr:sp macro="" textlink="">
          <xdr:nvSpPr>
            <xdr:cNvPr id="66563" name="Check Box 3" hidden="1">
              <a:extLst>
                <a:ext uri="{63B3BB69-23CF-44E3-9099-C40C66FF867C}">
                  <a14:compatExt spid="_x0000_s66563"/>
                </a:ext>
                <a:ext uri="{FF2B5EF4-FFF2-40B4-BE49-F238E27FC236}">
                  <a16:creationId xmlns:a16="http://schemas.microsoft.com/office/drawing/2014/main" id="{00000000-0008-0000-1400-000003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9525</xdr:rowOff>
        </xdr:from>
        <xdr:to>
          <xdr:col>2</xdr:col>
          <xdr:colOff>571500</xdr:colOff>
          <xdr:row>29</xdr:row>
          <xdr:rowOff>9525</xdr:rowOff>
        </xdr:to>
        <xdr:sp macro="" textlink="">
          <xdr:nvSpPr>
            <xdr:cNvPr id="66564" name="Check Box 4" hidden="1">
              <a:extLst>
                <a:ext uri="{63B3BB69-23CF-44E3-9099-C40C66FF867C}">
                  <a14:compatExt spid="_x0000_s66564"/>
                </a:ext>
                <a:ext uri="{FF2B5EF4-FFF2-40B4-BE49-F238E27FC236}">
                  <a16:creationId xmlns:a16="http://schemas.microsoft.com/office/drawing/2014/main" id="{00000000-0008-0000-1400-0000040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50</xdr:row>
          <xdr:rowOff>0</xdr:rowOff>
        </xdr:from>
        <xdr:to>
          <xdr:col>2</xdr:col>
          <xdr:colOff>1085850</xdr:colOff>
          <xdr:row>51</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171450</xdr:rowOff>
        </xdr:from>
        <xdr:to>
          <xdr:col>3</xdr:col>
          <xdr:colOff>19050</xdr:colOff>
          <xdr:row>49</xdr:row>
          <xdr:rowOff>28575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49</xdr:row>
          <xdr:rowOff>28575</xdr:rowOff>
        </xdr:from>
        <xdr:to>
          <xdr:col>3</xdr:col>
          <xdr:colOff>19050</xdr:colOff>
          <xdr:row>50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2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51</xdr:row>
          <xdr:rowOff>9525</xdr:rowOff>
        </xdr:from>
        <xdr:to>
          <xdr:col>2</xdr:col>
          <xdr:colOff>485775</xdr:colOff>
          <xdr:row>52</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28</xdr:row>
          <xdr:rowOff>0</xdr:rowOff>
        </xdr:from>
        <xdr:to>
          <xdr:col>2</xdr:col>
          <xdr:colOff>1333500</xdr:colOff>
          <xdr:row>29</xdr:row>
          <xdr:rowOff>28575</xdr:rowOff>
        </xdr:to>
        <xdr:sp macro="" textlink="">
          <xdr:nvSpPr>
            <xdr:cNvPr id="146433" name="Check Box 1" hidden="1">
              <a:extLst>
                <a:ext uri="{63B3BB69-23CF-44E3-9099-C40C66FF867C}">
                  <a14:compatExt spid="_x0000_s146433"/>
                </a:ext>
                <a:ext uri="{FF2B5EF4-FFF2-40B4-BE49-F238E27FC236}">
                  <a16:creationId xmlns:a16="http://schemas.microsoft.com/office/drawing/2014/main" id="{00000000-0008-0000-1500-000001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171450</xdr:rowOff>
        </xdr:from>
        <xdr:to>
          <xdr:col>3</xdr:col>
          <xdr:colOff>152400</xdr:colOff>
          <xdr:row>27</xdr:row>
          <xdr:rowOff>28575</xdr:rowOff>
        </xdr:to>
        <xdr:sp macro="" textlink="">
          <xdr:nvSpPr>
            <xdr:cNvPr id="146434" name="Check Box 2" hidden="1">
              <a:extLst>
                <a:ext uri="{63B3BB69-23CF-44E3-9099-C40C66FF867C}">
                  <a14:compatExt spid="_x0000_s146434"/>
                </a:ext>
                <a:ext uri="{FF2B5EF4-FFF2-40B4-BE49-F238E27FC236}">
                  <a16:creationId xmlns:a16="http://schemas.microsoft.com/office/drawing/2014/main" id="{00000000-0008-0000-1500-000002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3</xdr:col>
          <xdr:colOff>152400</xdr:colOff>
          <xdr:row>28</xdr:row>
          <xdr:rowOff>0</xdr:rowOff>
        </xdr:to>
        <xdr:sp macro="" textlink="">
          <xdr:nvSpPr>
            <xdr:cNvPr id="146435" name="Check Box 3" hidden="1">
              <a:extLst>
                <a:ext uri="{63B3BB69-23CF-44E3-9099-C40C66FF867C}">
                  <a14:compatExt spid="_x0000_s146435"/>
                </a:ext>
                <a:ext uri="{FF2B5EF4-FFF2-40B4-BE49-F238E27FC236}">
                  <a16:creationId xmlns:a16="http://schemas.microsoft.com/office/drawing/2014/main" id="{00000000-0008-0000-1500-000003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9525</xdr:rowOff>
        </xdr:from>
        <xdr:to>
          <xdr:col>2</xdr:col>
          <xdr:colOff>733425</xdr:colOff>
          <xdr:row>30</xdr:row>
          <xdr:rowOff>85725</xdr:rowOff>
        </xdr:to>
        <xdr:sp macro="" textlink="">
          <xdr:nvSpPr>
            <xdr:cNvPr id="146436" name="Check Box 4" hidden="1">
              <a:extLst>
                <a:ext uri="{63B3BB69-23CF-44E3-9099-C40C66FF867C}">
                  <a14:compatExt spid="_x0000_s146436"/>
                </a:ext>
                <a:ext uri="{FF2B5EF4-FFF2-40B4-BE49-F238E27FC236}">
                  <a16:creationId xmlns:a16="http://schemas.microsoft.com/office/drawing/2014/main" id="{00000000-0008-0000-1500-000004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0</xdr:rowOff>
        </xdr:from>
        <xdr:to>
          <xdr:col>2</xdr:col>
          <xdr:colOff>1333500</xdr:colOff>
          <xdr:row>28</xdr:row>
          <xdr:rowOff>28575</xdr:rowOff>
        </xdr:to>
        <xdr:sp macro="" textlink="">
          <xdr:nvSpPr>
            <xdr:cNvPr id="146437" name="Check Box 5" hidden="1">
              <a:extLst>
                <a:ext uri="{63B3BB69-23CF-44E3-9099-C40C66FF867C}">
                  <a14:compatExt spid="_x0000_s146437"/>
                </a:ext>
                <a:ext uri="{FF2B5EF4-FFF2-40B4-BE49-F238E27FC236}">
                  <a16:creationId xmlns:a16="http://schemas.microsoft.com/office/drawing/2014/main" id="{00000000-0008-0000-1500-000005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3</xdr:col>
          <xdr:colOff>152400</xdr:colOff>
          <xdr:row>27</xdr:row>
          <xdr:rowOff>0</xdr:rowOff>
        </xdr:to>
        <xdr:sp macro="" textlink="">
          <xdr:nvSpPr>
            <xdr:cNvPr id="146438" name="Check Box 6" hidden="1">
              <a:extLst>
                <a:ext uri="{63B3BB69-23CF-44E3-9099-C40C66FF867C}">
                  <a14:compatExt spid="_x0000_s146438"/>
                </a:ext>
                <a:ext uri="{FF2B5EF4-FFF2-40B4-BE49-F238E27FC236}">
                  <a16:creationId xmlns:a16="http://schemas.microsoft.com/office/drawing/2014/main" id="{00000000-0008-0000-1500-000006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9525</xdr:rowOff>
        </xdr:from>
        <xdr:to>
          <xdr:col>2</xdr:col>
          <xdr:colOff>733425</xdr:colOff>
          <xdr:row>29</xdr:row>
          <xdr:rowOff>0</xdr:rowOff>
        </xdr:to>
        <xdr:sp macro="" textlink="">
          <xdr:nvSpPr>
            <xdr:cNvPr id="146439" name="Check Box 7" hidden="1">
              <a:extLst>
                <a:ext uri="{63B3BB69-23CF-44E3-9099-C40C66FF867C}">
                  <a14:compatExt spid="_x0000_s146439"/>
                </a:ext>
                <a:ext uri="{FF2B5EF4-FFF2-40B4-BE49-F238E27FC236}">
                  <a16:creationId xmlns:a16="http://schemas.microsoft.com/office/drawing/2014/main" id="{00000000-0008-0000-1500-0000073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26</xdr:row>
          <xdr:rowOff>0</xdr:rowOff>
        </xdr:from>
        <xdr:to>
          <xdr:col>2</xdr:col>
          <xdr:colOff>1171575</xdr:colOff>
          <xdr:row>27</xdr:row>
          <xdr:rowOff>38100</xdr:rowOff>
        </xdr:to>
        <xdr:sp macro="" textlink="">
          <xdr:nvSpPr>
            <xdr:cNvPr id="295937" name="Check Box 1" hidden="1">
              <a:extLst>
                <a:ext uri="{63B3BB69-23CF-44E3-9099-C40C66FF867C}">
                  <a14:compatExt spid="_x0000_s295937"/>
                </a:ext>
                <a:ext uri="{FF2B5EF4-FFF2-40B4-BE49-F238E27FC236}">
                  <a16:creationId xmlns:a16="http://schemas.microsoft.com/office/drawing/2014/main" id="{00000000-0008-0000-1600-0000018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171450</xdr:rowOff>
        </xdr:from>
        <xdr:to>
          <xdr:col>3</xdr:col>
          <xdr:colOff>266700</xdr:colOff>
          <xdr:row>25</xdr:row>
          <xdr:rowOff>47625</xdr:rowOff>
        </xdr:to>
        <xdr:sp macro="" textlink="">
          <xdr:nvSpPr>
            <xdr:cNvPr id="295938" name="Check Box 2" hidden="1">
              <a:extLst>
                <a:ext uri="{63B3BB69-23CF-44E3-9099-C40C66FF867C}">
                  <a14:compatExt spid="_x0000_s295938"/>
                </a:ext>
                <a:ext uri="{FF2B5EF4-FFF2-40B4-BE49-F238E27FC236}">
                  <a16:creationId xmlns:a16="http://schemas.microsoft.com/office/drawing/2014/main" id="{00000000-0008-0000-1600-0000028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3</xdr:col>
          <xdr:colOff>266700</xdr:colOff>
          <xdr:row>26</xdr:row>
          <xdr:rowOff>9525</xdr:rowOff>
        </xdr:to>
        <xdr:sp macro="" textlink="">
          <xdr:nvSpPr>
            <xdr:cNvPr id="295939" name="Check Box 3" hidden="1">
              <a:extLst>
                <a:ext uri="{63B3BB69-23CF-44E3-9099-C40C66FF867C}">
                  <a14:compatExt spid="_x0000_s295939"/>
                </a:ext>
                <a:ext uri="{FF2B5EF4-FFF2-40B4-BE49-F238E27FC236}">
                  <a16:creationId xmlns:a16="http://schemas.microsoft.com/office/drawing/2014/main" id="{00000000-0008-0000-1600-0000038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9525</xdr:rowOff>
        </xdr:from>
        <xdr:to>
          <xdr:col>2</xdr:col>
          <xdr:colOff>571500</xdr:colOff>
          <xdr:row>28</xdr:row>
          <xdr:rowOff>9525</xdr:rowOff>
        </xdr:to>
        <xdr:sp macro="" textlink="">
          <xdr:nvSpPr>
            <xdr:cNvPr id="295940" name="Check Box 4" hidden="1">
              <a:extLst>
                <a:ext uri="{63B3BB69-23CF-44E3-9099-C40C66FF867C}">
                  <a14:compatExt spid="_x0000_s295940"/>
                </a:ext>
                <a:ext uri="{FF2B5EF4-FFF2-40B4-BE49-F238E27FC236}">
                  <a16:creationId xmlns:a16="http://schemas.microsoft.com/office/drawing/2014/main" id="{00000000-0008-0000-1600-0000048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33</xdr:row>
          <xdr:rowOff>0</xdr:rowOff>
        </xdr:from>
        <xdr:to>
          <xdr:col>2</xdr:col>
          <xdr:colOff>1295400</xdr:colOff>
          <xdr:row>34</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19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171450</xdr:rowOff>
        </xdr:from>
        <xdr:to>
          <xdr:col>2</xdr:col>
          <xdr:colOff>2047875</xdr:colOff>
          <xdr:row>32</xdr:row>
          <xdr:rowOff>47625</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19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28575</xdr:rowOff>
        </xdr:from>
        <xdr:to>
          <xdr:col>2</xdr:col>
          <xdr:colOff>2047875</xdr:colOff>
          <xdr:row>33</xdr:row>
          <xdr:rowOff>9525</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19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xdr:row>
          <xdr:rowOff>9525</xdr:rowOff>
        </xdr:from>
        <xdr:to>
          <xdr:col>2</xdr:col>
          <xdr:colOff>695325</xdr:colOff>
          <xdr:row>35</xdr:row>
          <xdr:rowOff>9525</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19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28</xdr:row>
          <xdr:rowOff>0</xdr:rowOff>
        </xdr:from>
        <xdr:to>
          <xdr:col>2</xdr:col>
          <xdr:colOff>1171575</xdr:colOff>
          <xdr:row>29</xdr:row>
          <xdr:rowOff>38100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A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171450</xdr:rowOff>
        </xdr:from>
        <xdr:to>
          <xdr:col>2</xdr:col>
          <xdr:colOff>1924050</xdr:colOff>
          <xdr:row>27</xdr:row>
          <xdr:rowOff>47625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1A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1924050</xdr:colOff>
          <xdr:row>28</xdr:row>
          <xdr:rowOff>9525</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1A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9525</xdr:rowOff>
        </xdr:from>
        <xdr:to>
          <xdr:col>2</xdr:col>
          <xdr:colOff>571500</xdr:colOff>
          <xdr:row>30</xdr:row>
          <xdr:rowOff>9525</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1A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25</xdr:row>
          <xdr:rowOff>0</xdr:rowOff>
        </xdr:from>
        <xdr:to>
          <xdr:col>2</xdr:col>
          <xdr:colOff>628650</xdr:colOff>
          <xdr:row>26</xdr:row>
          <xdr:rowOff>38100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B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171450</xdr:rowOff>
        </xdr:from>
        <xdr:to>
          <xdr:col>2</xdr:col>
          <xdr:colOff>1381125</xdr:colOff>
          <xdr:row>24</xdr:row>
          <xdr:rowOff>47625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1B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1381125</xdr:colOff>
          <xdr:row>25</xdr:row>
          <xdr:rowOff>9525</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1B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9525</xdr:rowOff>
        </xdr:from>
        <xdr:to>
          <xdr:col>2</xdr:col>
          <xdr:colOff>28575</xdr:colOff>
          <xdr:row>27</xdr:row>
          <xdr:rowOff>9525</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1B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48</xdr:row>
          <xdr:rowOff>0</xdr:rowOff>
        </xdr:from>
        <xdr:to>
          <xdr:col>2</xdr:col>
          <xdr:colOff>1057275</xdr:colOff>
          <xdr:row>49</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C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171450</xdr:rowOff>
        </xdr:from>
        <xdr:to>
          <xdr:col>2</xdr:col>
          <xdr:colOff>1809750</xdr:colOff>
          <xdr:row>47</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C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28575</xdr:rowOff>
        </xdr:from>
        <xdr:to>
          <xdr:col>2</xdr:col>
          <xdr:colOff>1809750</xdr:colOff>
          <xdr:row>48</xdr:row>
          <xdr:rowOff>9525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C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9525</xdr:rowOff>
        </xdr:from>
        <xdr:to>
          <xdr:col>2</xdr:col>
          <xdr:colOff>457200</xdr:colOff>
          <xdr:row>50</xdr:row>
          <xdr:rowOff>9525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1C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xdr:row>
          <xdr:rowOff>0</xdr:rowOff>
        </xdr:from>
        <xdr:to>
          <xdr:col>2</xdr:col>
          <xdr:colOff>1057275</xdr:colOff>
          <xdr:row>49</xdr:row>
          <xdr:rowOff>28575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1C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171450</xdr:rowOff>
        </xdr:from>
        <xdr:to>
          <xdr:col>2</xdr:col>
          <xdr:colOff>1809750</xdr:colOff>
          <xdr:row>47</xdr:row>
          <xdr:rowOff>28575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1C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28575</xdr:rowOff>
        </xdr:from>
        <xdr:to>
          <xdr:col>2</xdr:col>
          <xdr:colOff>1809750</xdr:colOff>
          <xdr:row>48</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1C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9525</xdr:rowOff>
        </xdr:from>
        <xdr:to>
          <xdr:col>2</xdr:col>
          <xdr:colOff>457200</xdr:colOff>
          <xdr:row>50</xdr:row>
          <xdr:rowOff>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1C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27</xdr:row>
          <xdr:rowOff>0</xdr:rowOff>
        </xdr:from>
        <xdr:to>
          <xdr:col>2</xdr:col>
          <xdr:colOff>333375</xdr:colOff>
          <xdr:row>28</xdr:row>
          <xdr:rowOff>38100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1D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171450</xdr:rowOff>
        </xdr:from>
        <xdr:to>
          <xdr:col>2</xdr:col>
          <xdr:colOff>1085850</xdr:colOff>
          <xdr:row>26</xdr:row>
          <xdr:rowOff>47625</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1D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1085850</xdr:colOff>
          <xdr:row>27</xdr:row>
          <xdr:rowOff>9525</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1D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9525</xdr:rowOff>
        </xdr:from>
        <xdr:to>
          <xdr:col>1</xdr:col>
          <xdr:colOff>2781300</xdr:colOff>
          <xdr:row>29</xdr:row>
          <xdr:rowOff>9525</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1D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0</xdr:rowOff>
        </xdr:from>
        <xdr:to>
          <xdr:col>2</xdr:col>
          <xdr:colOff>333375</xdr:colOff>
          <xdr:row>28</xdr:row>
          <xdr:rowOff>28575</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1D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171450</xdr:rowOff>
        </xdr:from>
        <xdr:to>
          <xdr:col>2</xdr:col>
          <xdr:colOff>1085850</xdr:colOff>
          <xdr:row>26</xdr:row>
          <xdr:rowOff>28575</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1D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1085850</xdr:colOff>
          <xdr:row>27</xdr:row>
          <xdr:rowOff>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1D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9525</xdr:rowOff>
        </xdr:from>
        <xdr:to>
          <xdr:col>1</xdr:col>
          <xdr:colOff>2781300</xdr:colOff>
          <xdr:row>29</xdr:row>
          <xdr:rowOff>0</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1D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24</xdr:row>
          <xdr:rowOff>0</xdr:rowOff>
        </xdr:from>
        <xdr:to>
          <xdr:col>2</xdr:col>
          <xdr:colOff>1085850</xdr:colOff>
          <xdr:row>25</xdr:row>
          <xdr:rowOff>28575</xdr:rowOff>
        </xdr:to>
        <xdr:sp macro="" textlink="">
          <xdr:nvSpPr>
            <xdr:cNvPr id="327681" name="Check Box 1" hidden="1">
              <a:extLst>
                <a:ext uri="{63B3BB69-23CF-44E3-9099-C40C66FF867C}">
                  <a14:compatExt spid="_x0000_s327681"/>
                </a:ext>
                <a:ext uri="{FF2B5EF4-FFF2-40B4-BE49-F238E27FC236}">
                  <a16:creationId xmlns:a16="http://schemas.microsoft.com/office/drawing/2014/main" id="{00000000-0008-0000-1E00-000001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171450</xdr:rowOff>
        </xdr:from>
        <xdr:to>
          <xdr:col>3</xdr:col>
          <xdr:colOff>19050</xdr:colOff>
          <xdr:row>23</xdr:row>
          <xdr:rowOff>28575</xdr:rowOff>
        </xdr:to>
        <xdr:sp macro="" textlink="">
          <xdr:nvSpPr>
            <xdr:cNvPr id="327682" name="Check Box 2" hidden="1">
              <a:extLst>
                <a:ext uri="{63B3BB69-23CF-44E3-9099-C40C66FF867C}">
                  <a14:compatExt spid="_x0000_s327682"/>
                </a:ext>
                <a:ext uri="{FF2B5EF4-FFF2-40B4-BE49-F238E27FC236}">
                  <a16:creationId xmlns:a16="http://schemas.microsoft.com/office/drawing/2014/main" id="{00000000-0008-0000-1E00-000002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3</xdr:col>
          <xdr:colOff>19050</xdr:colOff>
          <xdr:row>24</xdr:row>
          <xdr:rowOff>0</xdr:rowOff>
        </xdr:to>
        <xdr:sp macro="" textlink="">
          <xdr:nvSpPr>
            <xdr:cNvPr id="327683" name="Check Box 3" hidden="1">
              <a:extLst>
                <a:ext uri="{63B3BB69-23CF-44E3-9099-C40C66FF867C}">
                  <a14:compatExt spid="_x0000_s327683"/>
                </a:ext>
                <a:ext uri="{FF2B5EF4-FFF2-40B4-BE49-F238E27FC236}">
                  <a16:creationId xmlns:a16="http://schemas.microsoft.com/office/drawing/2014/main" id="{00000000-0008-0000-1E00-000003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9525</xdr:rowOff>
        </xdr:from>
        <xdr:to>
          <xdr:col>2</xdr:col>
          <xdr:colOff>485775</xdr:colOff>
          <xdr:row>26</xdr:row>
          <xdr:rowOff>0</xdr:rowOff>
        </xdr:to>
        <xdr:sp macro="" textlink="">
          <xdr:nvSpPr>
            <xdr:cNvPr id="327684" name="Check Box 4" hidden="1">
              <a:extLst>
                <a:ext uri="{63B3BB69-23CF-44E3-9099-C40C66FF867C}">
                  <a14:compatExt spid="_x0000_s327684"/>
                </a:ext>
                <a:ext uri="{FF2B5EF4-FFF2-40B4-BE49-F238E27FC236}">
                  <a16:creationId xmlns:a16="http://schemas.microsoft.com/office/drawing/2014/main" id="{00000000-0008-0000-1E00-000004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0</xdr:rowOff>
        </xdr:from>
        <xdr:to>
          <xdr:col>2</xdr:col>
          <xdr:colOff>1085850</xdr:colOff>
          <xdr:row>25</xdr:row>
          <xdr:rowOff>28575</xdr:rowOff>
        </xdr:to>
        <xdr:sp macro="" textlink="">
          <xdr:nvSpPr>
            <xdr:cNvPr id="327685" name="Check Box 5" hidden="1">
              <a:extLst>
                <a:ext uri="{63B3BB69-23CF-44E3-9099-C40C66FF867C}">
                  <a14:compatExt spid="_x0000_s327685"/>
                </a:ext>
                <a:ext uri="{FF2B5EF4-FFF2-40B4-BE49-F238E27FC236}">
                  <a16:creationId xmlns:a16="http://schemas.microsoft.com/office/drawing/2014/main" id="{00000000-0008-0000-1E00-000005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171450</xdr:rowOff>
        </xdr:from>
        <xdr:to>
          <xdr:col>3</xdr:col>
          <xdr:colOff>19050</xdr:colOff>
          <xdr:row>23</xdr:row>
          <xdr:rowOff>28575</xdr:rowOff>
        </xdr:to>
        <xdr:sp macro="" textlink="">
          <xdr:nvSpPr>
            <xdr:cNvPr id="327686" name="Check Box 6" hidden="1">
              <a:extLst>
                <a:ext uri="{63B3BB69-23CF-44E3-9099-C40C66FF867C}">
                  <a14:compatExt spid="_x0000_s327686"/>
                </a:ext>
                <a:ext uri="{FF2B5EF4-FFF2-40B4-BE49-F238E27FC236}">
                  <a16:creationId xmlns:a16="http://schemas.microsoft.com/office/drawing/2014/main" id="{00000000-0008-0000-1E00-000006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3</xdr:col>
          <xdr:colOff>19050</xdr:colOff>
          <xdr:row>24</xdr:row>
          <xdr:rowOff>0</xdr:rowOff>
        </xdr:to>
        <xdr:sp macro="" textlink="">
          <xdr:nvSpPr>
            <xdr:cNvPr id="327687" name="Check Box 7" hidden="1">
              <a:extLst>
                <a:ext uri="{63B3BB69-23CF-44E3-9099-C40C66FF867C}">
                  <a14:compatExt spid="_x0000_s327687"/>
                </a:ext>
                <a:ext uri="{FF2B5EF4-FFF2-40B4-BE49-F238E27FC236}">
                  <a16:creationId xmlns:a16="http://schemas.microsoft.com/office/drawing/2014/main" id="{00000000-0008-0000-1E00-000007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9525</xdr:rowOff>
        </xdr:from>
        <xdr:to>
          <xdr:col>2</xdr:col>
          <xdr:colOff>485775</xdr:colOff>
          <xdr:row>26</xdr:row>
          <xdr:rowOff>0</xdr:rowOff>
        </xdr:to>
        <xdr:sp macro="" textlink="">
          <xdr:nvSpPr>
            <xdr:cNvPr id="327688" name="Check Box 8" hidden="1">
              <a:extLst>
                <a:ext uri="{63B3BB69-23CF-44E3-9099-C40C66FF867C}">
                  <a14:compatExt spid="_x0000_s327688"/>
                </a:ext>
                <a:ext uri="{FF2B5EF4-FFF2-40B4-BE49-F238E27FC236}">
                  <a16:creationId xmlns:a16="http://schemas.microsoft.com/office/drawing/2014/main" id="{00000000-0008-0000-1E00-000008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0</xdr:rowOff>
        </xdr:from>
        <xdr:to>
          <xdr:col>2</xdr:col>
          <xdr:colOff>1085850</xdr:colOff>
          <xdr:row>25</xdr:row>
          <xdr:rowOff>28575</xdr:rowOff>
        </xdr:to>
        <xdr:sp macro="" textlink="">
          <xdr:nvSpPr>
            <xdr:cNvPr id="327689" name="Check Box 9" hidden="1">
              <a:extLst>
                <a:ext uri="{63B3BB69-23CF-44E3-9099-C40C66FF867C}">
                  <a14:compatExt spid="_x0000_s327689"/>
                </a:ext>
                <a:ext uri="{FF2B5EF4-FFF2-40B4-BE49-F238E27FC236}">
                  <a16:creationId xmlns:a16="http://schemas.microsoft.com/office/drawing/2014/main" id="{00000000-0008-0000-1E00-000009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21</xdr:row>
          <xdr:rowOff>171450</xdr:rowOff>
        </xdr:from>
        <xdr:to>
          <xdr:col>3</xdr:col>
          <xdr:colOff>19050</xdr:colOff>
          <xdr:row>23</xdr:row>
          <xdr:rowOff>28575</xdr:rowOff>
        </xdr:to>
        <xdr:sp macro="" textlink="">
          <xdr:nvSpPr>
            <xdr:cNvPr id="327690" name="Check Box 10" hidden="1">
              <a:extLst>
                <a:ext uri="{63B3BB69-23CF-44E3-9099-C40C66FF867C}">
                  <a14:compatExt spid="_x0000_s327690"/>
                </a:ext>
                <a:ext uri="{FF2B5EF4-FFF2-40B4-BE49-F238E27FC236}">
                  <a16:creationId xmlns:a16="http://schemas.microsoft.com/office/drawing/2014/main" id="{00000000-0008-0000-1E00-00000A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28575</xdr:rowOff>
        </xdr:from>
        <xdr:to>
          <xdr:col>3</xdr:col>
          <xdr:colOff>19050</xdr:colOff>
          <xdr:row>24</xdr:row>
          <xdr:rowOff>0</xdr:rowOff>
        </xdr:to>
        <xdr:sp macro="" textlink="">
          <xdr:nvSpPr>
            <xdr:cNvPr id="327691" name="Check Box 11" hidden="1">
              <a:extLst>
                <a:ext uri="{63B3BB69-23CF-44E3-9099-C40C66FF867C}">
                  <a14:compatExt spid="_x0000_s327691"/>
                </a:ext>
                <a:ext uri="{FF2B5EF4-FFF2-40B4-BE49-F238E27FC236}">
                  <a16:creationId xmlns:a16="http://schemas.microsoft.com/office/drawing/2014/main" id="{00000000-0008-0000-1E00-00000B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25</xdr:row>
          <xdr:rowOff>9525</xdr:rowOff>
        </xdr:from>
        <xdr:to>
          <xdr:col>2</xdr:col>
          <xdr:colOff>485775</xdr:colOff>
          <xdr:row>26</xdr:row>
          <xdr:rowOff>0</xdr:rowOff>
        </xdr:to>
        <xdr:sp macro="" textlink="">
          <xdr:nvSpPr>
            <xdr:cNvPr id="327692" name="Check Box 12" hidden="1">
              <a:extLst>
                <a:ext uri="{63B3BB69-23CF-44E3-9099-C40C66FF867C}">
                  <a14:compatExt spid="_x0000_s327692"/>
                </a:ext>
                <a:ext uri="{FF2B5EF4-FFF2-40B4-BE49-F238E27FC236}">
                  <a16:creationId xmlns:a16="http://schemas.microsoft.com/office/drawing/2014/main" id="{00000000-0008-0000-1E00-00000C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0</xdr:rowOff>
        </xdr:from>
        <xdr:to>
          <xdr:col>2</xdr:col>
          <xdr:colOff>1085850</xdr:colOff>
          <xdr:row>28</xdr:row>
          <xdr:rowOff>0</xdr:rowOff>
        </xdr:to>
        <xdr:sp macro="" textlink="">
          <xdr:nvSpPr>
            <xdr:cNvPr id="327693" name="Check Box 13" hidden="1">
              <a:extLst>
                <a:ext uri="{63B3BB69-23CF-44E3-9099-C40C66FF867C}">
                  <a14:compatExt spid="_x0000_s327693"/>
                </a:ext>
                <a:ext uri="{FF2B5EF4-FFF2-40B4-BE49-F238E27FC236}">
                  <a16:creationId xmlns:a16="http://schemas.microsoft.com/office/drawing/2014/main" id="{00000000-0008-0000-1E00-00000D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171450</xdr:rowOff>
        </xdr:from>
        <xdr:to>
          <xdr:col>3</xdr:col>
          <xdr:colOff>28575</xdr:colOff>
          <xdr:row>26</xdr:row>
          <xdr:rowOff>28575</xdr:rowOff>
        </xdr:to>
        <xdr:sp macro="" textlink="">
          <xdr:nvSpPr>
            <xdr:cNvPr id="327694" name="Check Box 14" hidden="1">
              <a:extLst>
                <a:ext uri="{63B3BB69-23CF-44E3-9099-C40C66FF867C}">
                  <a14:compatExt spid="_x0000_s327694"/>
                </a:ext>
                <a:ext uri="{FF2B5EF4-FFF2-40B4-BE49-F238E27FC236}">
                  <a16:creationId xmlns:a16="http://schemas.microsoft.com/office/drawing/2014/main" id="{00000000-0008-0000-1E00-00000E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3</xdr:col>
          <xdr:colOff>28575</xdr:colOff>
          <xdr:row>27</xdr:row>
          <xdr:rowOff>0</xdr:rowOff>
        </xdr:to>
        <xdr:sp macro="" textlink="">
          <xdr:nvSpPr>
            <xdr:cNvPr id="327695" name="Check Box 15" hidden="1">
              <a:extLst>
                <a:ext uri="{63B3BB69-23CF-44E3-9099-C40C66FF867C}">
                  <a14:compatExt spid="_x0000_s327695"/>
                </a:ext>
                <a:ext uri="{FF2B5EF4-FFF2-40B4-BE49-F238E27FC236}">
                  <a16:creationId xmlns:a16="http://schemas.microsoft.com/office/drawing/2014/main" id="{00000000-0008-0000-1E00-00000F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9525</xdr:rowOff>
        </xdr:from>
        <xdr:to>
          <xdr:col>2</xdr:col>
          <xdr:colOff>485775</xdr:colOff>
          <xdr:row>28</xdr:row>
          <xdr:rowOff>190500</xdr:rowOff>
        </xdr:to>
        <xdr:sp macro="" textlink="">
          <xdr:nvSpPr>
            <xdr:cNvPr id="327696" name="Check Box 16" hidden="1">
              <a:extLst>
                <a:ext uri="{63B3BB69-23CF-44E3-9099-C40C66FF867C}">
                  <a14:compatExt spid="_x0000_s327696"/>
                </a:ext>
                <a:ext uri="{FF2B5EF4-FFF2-40B4-BE49-F238E27FC236}">
                  <a16:creationId xmlns:a16="http://schemas.microsoft.com/office/drawing/2014/main" id="{00000000-0008-0000-1E00-0000100005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32</xdr:row>
          <xdr:rowOff>0</xdr:rowOff>
        </xdr:from>
        <xdr:to>
          <xdr:col>2</xdr:col>
          <xdr:colOff>1171575</xdr:colOff>
          <xdr:row>33</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1F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171450</xdr:rowOff>
        </xdr:from>
        <xdr:to>
          <xdr:col>3</xdr:col>
          <xdr:colOff>9525</xdr:colOff>
          <xdr:row>31</xdr:row>
          <xdr:rowOff>47625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1F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3</xdr:col>
          <xdr:colOff>9525</xdr:colOff>
          <xdr:row>32</xdr:row>
          <xdr:rowOff>9525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1F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9525</xdr:rowOff>
        </xdr:from>
        <xdr:to>
          <xdr:col>2</xdr:col>
          <xdr:colOff>571500</xdr:colOff>
          <xdr:row>34</xdr:row>
          <xdr:rowOff>9525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1F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0</xdr:rowOff>
        </xdr:from>
        <xdr:to>
          <xdr:col>2</xdr:col>
          <xdr:colOff>1171575</xdr:colOff>
          <xdr:row>33</xdr:row>
          <xdr:rowOff>28575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1F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171450</xdr:rowOff>
        </xdr:from>
        <xdr:to>
          <xdr:col>3</xdr:col>
          <xdr:colOff>9525</xdr:colOff>
          <xdr:row>31</xdr:row>
          <xdr:rowOff>28575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1F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3</xdr:col>
          <xdr:colOff>9525</xdr:colOff>
          <xdr:row>32</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1F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9525</xdr:rowOff>
        </xdr:from>
        <xdr:to>
          <xdr:col>2</xdr:col>
          <xdr:colOff>571500</xdr:colOff>
          <xdr:row>34</xdr:row>
          <xdr:rowOff>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1F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0</xdr:rowOff>
        </xdr:from>
        <xdr:to>
          <xdr:col>2</xdr:col>
          <xdr:colOff>1171575</xdr:colOff>
          <xdr:row>33</xdr:row>
          <xdr:rowOff>28575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1F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171450</xdr:rowOff>
        </xdr:from>
        <xdr:to>
          <xdr:col>3</xdr:col>
          <xdr:colOff>9525</xdr:colOff>
          <xdr:row>31</xdr:row>
          <xdr:rowOff>28575</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1F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3</xdr:col>
          <xdr:colOff>9525</xdr:colOff>
          <xdr:row>32</xdr:row>
          <xdr:rowOff>0</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1F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9525</xdr:rowOff>
        </xdr:from>
        <xdr:to>
          <xdr:col>2</xdr:col>
          <xdr:colOff>571500</xdr:colOff>
          <xdr:row>34</xdr:row>
          <xdr:rowOff>0</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1F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0</xdr:rowOff>
        </xdr:from>
        <xdr:to>
          <xdr:col>2</xdr:col>
          <xdr:colOff>1171575</xdr:colOff>
          <xdr:row>33</xdr:row>
          <xdr:rowOff>28575</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1F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171450</xdr:rowOff>
        </xdr:from>
        <xdr:to>
          <xdr:col>3</xdr:col>
          <xdr:colOff>9525</xdr:colOff>
          <xdr:row>31</xdr:row>
          <xdr:rowOff>28575</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1F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3</xdr:col>
          <xdr:colOff>9525</xdr:colOff>
          <xdr:row>32</xdr:row>
          <xdr:rowOff>0</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1F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9525</xdr:rowOff>
        </xdr:from>
        <xdr:to>
          <xdr:col>2</xdr:col>
          <xdr:colOff>571500</xdr:colOff>
          <xdr:row>34</xdr:row>
          <xdr:rowOff>0</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1F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0</xdr:rowOff>
        </xdr:from>
        <xdr:to>
          <xdr:col>2</xdr:col>
          <xdr:colOff>1171575</xdr:colOff>
          <xdr:row>33</xdr:row>
          <xdr:rowOff>38100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1F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171450</xdr:rowOff>
        </xdr:from>
        <xdr:to>
          <xdr:col>3</xdr:col>
          <xdr:colOff>9525</xdr:colOff>
          <xdr:row>31</xdr:row>
          <xdr:rowOff>47625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1F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3</xdr:col>
          <xdr:colOff>9525</xdr:colOff>
          <xdr:row>32</xdr:row>
          <xdr:rowOff>9525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1F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9525</xdr:rowOff>
        </xdr:from>
        <xdr:to>
          <xdr:col>2</xdr:col>
          <xdr:colOff>571500</xdr:colOff>
          <xdr:row>34</xdr:row>
          <xdr:rowOff>9525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1F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32</xdr:row>
          <xdr:rowOff>0</xdr:rowOff>
        </xdr:from>
        <xdr:to>
          <xdr:col>2</xdr:col>
          <xdr:colOff>1171575</xdr:colOff>
          <xdr:row>33</xdr:row>
          <xdr:rowOff>28575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1F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29</xdr:row>
          <xdr:rowOff>171450</xdr:rowOff>
        </xdr:from>
        <xdr:to>
          <xdr:col>3</xdr:col>
          <xdr:colOff>9525</xdr:colOff>
          <xdr:row>31</xdr:row>
          <xdr:rowOff>28575</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1F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31</xdr:row>
          <xdr:rowOff>28575</xdr:rowOff>
        </xdr:from>
        <xdr:to>
          <xdr:col>3</xdr:col>
          <xdr:colOff>9525</xdr:colOff>
          <xdr:row>32</xdr:row>
          <xdr:rowOff>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1F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33</xdr:row>
          <xdr:rowOff>9525</xdr:rowOff>
        </xdr:from>
        <xdr:to>
          <xdr:col>2</xdr:col>
          <xdr:colOff>571500</xdr:colOff>
          <xdr:row>34</xdr:row>
          <xdr:rowOff>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1F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2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26</xdr:row>
          <xdr:rowOff>0</xdr:rowOff>
        </xdr:from>
        <xdr:to>
          <xdr:col>2</xdr:col>
          <xdr:colOff>1171575</xdr:colOff>
          <xdr:row>27</xdr:row>
          <xdr:rowOff>38100</xdr:rowOff>
        </xdr:to>
        <xdr:sp macro="" textlink="">
          <xdr:nvSpPr>
            <xdr:cNvPr id="102401" name="Check Box 1" hidden="1">
              <a:extLst>
                <a:ext uri="{63B3BB69-23CF-44E3-9099-C40C66FF867C}">
                  <a14:compatExt spid="_x0000_s102401"/>
                </a:ext>
                <a:ext uri="{FF2B5EF4-FFF2-40B4-BE49-F238E27FC236}">
                  <a16:creationId xmlns:a16="http://schemas.microsoft.com/office/drawing/2014/main" id="{00000000-0008-0000-2000-000001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171450</xdr:rowOff>
        </xdr:from>
        <xdr:to>
          <xdr:col>3</xdr:col>
          <xdr:colOff>266700</xdr:colOff>
          <xdr:row>25</xdr:row>
          <xdr:rowOff>47625</xdr:rowOff>
        </xdr:to>
        <xdr:sp macro="" textlink="">
          <xdr:nvSpPr>
            <xdr:cNvPr id="102402" name="Check Box 2" hidden="1">
              <a:extLst>
                <a:ext uri="{63B3BB69-23CF-44E3-9099-C40C66FF867C}">
                  <a14:compatExt spid="_x0000_s102402"/>
                </a:ext>
                <a:ext uri="{FF2B5EF4-FFF2-40B4-BE49-F238E27FC236}">
                  <a16:creationId xmlns:a16="http://schemas.microsoft.com/office/drawing/2014/main" id="{00000000-0008-0000-2000-000002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3</xdr:col>
          <xdr:colOff>266700</xdr:colOff>
          <xdr:row>26</xdr:row>
          <xdr:rowOff>9525</xdr:rowOff>
        </xdr:to>
        <xdr:sp macro="" textlink="">
          <xdr:nvSpPr>
            <xdr:cNvPr id="102403" name="Check Box 3" hidden="1">
              <a:extLst>
                <a:ext uri="{63B3BB69-23CF-44E3-9099-C40C66FF867C}">
                  <a14:compatExt spid="_x0000_s102403"/>
                </a:ext>
                <a:ext uri="{FF2B5EF4-FFF2-40B4-BE49-F238E27FC236}">
                  <a16:creationId xmlns:a16="http://schemas.microsoft.com/office/drawing/2014/main" id="{00000000-0008-0000-2000-000003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9525</xdr:rowOff>
        </xdr:from>
        <xdr:to>
          <xdr:col>2</xdr:col>
          <xdr:colOff>571500</xdr:colOff>
          <xdr:row>28</xdr:row>
          <xdr:rowOff>9525</xdr:rowOff>
        </xdr:to>
        <xdr:sp macro="" textlink="">
          <xdr:nvSpPr>
            <xdr:cNvPr id="102404" name="Check Box 4" hidden="1">
              <a:extLst>
                <a:ext uri="{63B3BB69-23CF-44E3-9099-C40C66FF867C}">
                  <a14:compatExt spid="_x0000_s102404"/>
                </a:ext>
                <a:ext uri="{FF2B5EF4-FFF2-40B4-BE49-F238E27FC236}">
                  <a16:creationId xmlns:a16="http://schemas.microsoft.com/office/drawing/2014/main" id="{00000000-0008-0000-2000-0000049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26</xdr:row>
          <xdr:rowOff>0</xdr:rowOff>
        </xdr:from>
        <xdr:to>
          <xdr:col>2</xdr:col>
          <xdr:colOff>1009650</xdr:colOff>
          <xdr:row>27</xdr:row>
          <xdr:rowOff>38100</xdr:rowOff>
        </xdr:to>
        <xdr:sp macro="" textlink="">
          <xdr:nvSpPr>
            <xdr:cNvPr id="107521" name="Check Box 1" hidden="1">
              <a:extLst>
                <a:ext uri="{63B3BB69-23CF-44E3-9099-C40C66FF867C}">
                  <a14:compatExt spid="_x0000_s107521"/>
                </a:ext>
                <a:ext uri="{FF2B5EF4-FFF2-40B4-BE49-F238E27FC236}">
                  <a16:creationId xmlns:a16="http://schemas.microsoft.com/office/drawing/2014/main" id="{00000000-0008-0000-0300-000001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171450</xdr:rowOff>
        </xdr:from>
        <xdr:to>
          <xdr:col>2</xdr:col>
          <xdr:colOff>1762125</xdr:colOff>
          <xdr:row>25</xdr:row>
          <xdr:rowOff>47625</xdr:rowOff>
        </xdr:to>
        <xdr:sp macro="" textlink="">
          <xdr:nvSpPr>
            <xdr:cNvPr id="107522" name="Check Box 2" hidden="1">
              <a:extLst>
                <a:ext uri="{63B3BB69-23CF-44E3-9099-C40C66FF867C}">
                  <a14:compatExt spid="_x0000_s107522"/>
                </a:ext>
                <a:ext uri="{FF2B5EF4-FFF2-40B4-BE49-F238E27FC236}">
                  <a16:creationId xmlns:a16="http://schemas.microsoft.com/office/drawing/2014/main" id="{00000000-0008-0000-0300-000002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1762125</xdr:colOff>
          <xdr:row>26</xdr:row>
          <xdr:rowOff>9525</xdr:rowOff>
        </xdr:to>
        <xdr:sp macro="" textlink="">
          <xdr:nvSpPr>
            <xdr:cNvPr id="107523" name="Check Box 3" hidden="1">
              <a:extLst>
                <a:ext uri="{63B3BB69-23CF-44E3-9099-C40C66FF867C}">
                  <a14:compatExt spid="_x0000_s107523"/>
                </a:ext>
                <a:ext uri="{FF2B5EF4-FFF2-40B4-BE49-F238E27FC236}">
                  <a16:creationId xmlns:a16="http://schemas.microsoft.com/office/drawing/2014/main" id="{00000000-0008-0000-0300-000003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9525</xdr:rowOff>
        </xdr:from>
        <xdr:to>
          <xdr:col>2</xdr:col>
          <xdr:colOff>409575</xdr:colOff>
          <xdr:row>28</xdr:row>
          <xdr:rowOff>9525</xdr:rowOff>
        </xdr:to>
        <xdr:sp macro="" textlink="">
          <xdr:nvSpPr>
            <xdr:cNvPr id="107524" name="Check Box 4" hidden="1">
              <a:extLst>
                <a:ext uri="{63B3BB69-23CF-44E3-9099-C40C66FF867C}">
                  <a14:compatExt spid="_x0000_s107524"/>
                </a:ext>
                <a:ext uri="{FF2B5EF4-FFF2-40B4-BE49-F238E27FC236}">
                  <a16:creationId xmlns:a16="http://schemas.microsoft.com/office/drawing/2014/main" id="{00000000-0008-0000-0300-000004A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26</xdr:row>
          <xdr:rowOff>0</xdr:rowOff>
        </xdr:from>
        <xdr:to>
          <xdr:col>2</xdr:col>
          <xdr:colOff>1171575</xdr:colOff>
          <xdr:row>27</xdr:row>
          <xdr:rowOff>38100</xdr:rowOff>
        </xdr:to>
        <xdr:sp macro="" textlink="">
          <xdr:nvSpPr>
            <xdr:cNvPr id="103425" name="Check Box 1" hidden="1">
              <a:extLst>
                <a:ext uri="{63B3BB69-23CF-44E3-9099-C40C66FF867C}">
                  <a14:compatExt spid="_x0000_s103425"/>
                </a:ext>
                <a:ext uri="{FF2B5EF4-FFF2-40B4-BE49-F238E27FC236}">
                  <a16:creationId xmlns:a16="http://schemas.microsoft.com/office/drawing/2014/main" id="{00000000-0008-0000-2100-000001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171450</xdr:rowOff>
        </xdr:from>
        <xdr:to>
          <xdr:col>3</xdr:col>
          <xdr:colOff>266700</xdr:colOff>
          <xdr:row>25</xdr:row>
          <xdr:rowOff>47625</xdr:rowOff>
        </xdr:to>
        <xdr:sp macro="" textlink="">
          <xdr:nvSpPr>
            <xdr:cNvPr id="103426" name="Check Box 2" hidden="1">
              <a:extLst>
                <a:ext uri="{63B3BB69-23CF-44E3-9099-C40C66FF867C}">
                  <a14:compatExt spid="_x0000_s103426"/>
                </a:ext>
                <a:ext uri="{FF2B5EF4-FFF2-40B4-BE49-F238E27FC236}">
                  <a16:creationId xmlns:a16="http://schemas.microsoft.com/office/drawing/2014/main" id="{00000000-0008-0000-2100-000002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3</xdr:col>
          <xdr:colOff>266700</xdr:colOff>
          <xdr:row>26</xdr:row>
          <xdr:rowOff>9525</xdr:rowOff>
        </xdr:to>
        <xdr:sp macro="" textlink="">
          <xdr:nvSpPr>
            <xdr:cNvPr id="103427" name="Check Box 3" hidden="1">
              <a:extLst>
                <a:ext uri="{63B3BB69-23CF-44E3-9099-C40C66FF867C}">
                  <a14:compatExt spid="_x0000_s103427"/>
                </a:ext>
                <a:ext uri="{FF2B5EF4-FFF2-40B4-BE49-F238E27FC236}">
                  <a16:creationId xmlns:a16="http://schemas.microsoft.com/office/drawing/2014/main" id="{00000000-0008-0000-2100-000003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9525</xdr:rowOff>
        </xdr:from>
        <xdr:to>
          <xdr:col>2</xdr:col>
          <xdr:colOff>571500</xdr:colOff>
          <xdr:row>28</xdr:row>
          <xdr:rowOff>9525</xdr:rowOff>
        </xdr:to>
        <xdr:sp macro="" textlink="">
          <xdr:nvSpPr>
            <xdr:cNvPr id="103428" name="Check Box 4" hidden="1">
              <a:extLst>
                <a:ext uri="{63B3BB69-23CF-44E3-9099-C40C66FF867C}">
                  <a14:compatExt spid="_x0000_s103428"/>
                </a:ext>
                <a:ext uri="{FF2B5EF4-FFF2-40B4-BE49-F238E27FC236}">
                  <a16:creationId xmlns:a16="http://schemas.microsoft.com/office/drawing/2014/main" id="{00000000-0008-0000-2100-0000049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3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25</xdr:row>
          <xdr:rowOff>0</xdr:rowOff>
        </xdr:from>
        <xdr:to>
          <xdr:col>2</xdr:col>
          <xdr:colOff>1171575</xdr:colOff>
          <xdr:row>26</xdr:row>
          <xdr:rowOff>38100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22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171450</xdr:rowOff>
        </xdr:from>
        <xdr:to>
          <xdr:col>2</xdr:col>
          <xdr:colOff>1962150</xdr:colOff>
          <xdr:row>24</xdr:row>
          <xdr:rowOff>47625</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22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1962150</xdr:colOff>
          <xdr:row>25</xdr:row>
          <xdr:rowOff>9525</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22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9525</xdr:rowOff>
        </xdr:from>
        <xdr:to>
          <xdr:col>2</xdr:col>
          <xdr:colOff>571500</xdr:colOff>
          <xdr:row>27</xdr:row>
          <xdr:rowOff>9525</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22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0</xdr:rowOff>
        </xdr:from>
        <xdr:to>
          <xdr:col>2</xdr:col>
          <xdr:colOff>1171575</xdr:colOff>
          <xdr:row>28</xdr:row>
          <xdr:rowOff>28575</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22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171450</xdr:rowOff>
        </xdr:from>
        <xdr:to>
          <xdr:col>2</xdr:col>
          <xdr:colOff>1924050</xdr:colOff>
          <xdr:row>26</xdr:row>
          <xdr:rowOff>28575</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22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2</xdr:col>
          <xdr:colOff>1924050</xdr:colOff>
          <xdr:row>27</xdr:row>
          <xdr:rowOff>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22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9525</xdr:rowOff>
        </xdr:from>
        <xdr:to>
          <xdr:col>2</xdr:col>
          <xdr:colOff>571500</xdr:colOff>
          <xdr:row>29</xdr:row>
          <xdr:rowOff>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22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3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26</xdr:row>
          <xdr:rowOff>0</xdr:rowOff>
        </xdr:from>
        <xdr:to>
          <xdr:col>2</xdr:col>
          <xdr:colOff>1171575</xdr:colOff>
          <xdr:row>27</xdr:row>
          <xdr:rowOff>38100</xdr:rowOff>
        </xdr:to>
        <xdr:sp macro="" textlink="">
          <xdr:nvSpPr>
            <xdr:cNvPr id="67585" name="Check Box 1" hidden="1">
              <a:extLst>
                <a:ext uri="{63B3BB69-23CF-44E3-9099-C40C66FF867C}">
                  <a14:compatExt spid="_x0000_s67585"/>
                </a:ext>
                <a:ext uri="{FF2B5EF4-FFF2-40B4-BE49-F238E27FC236}">
                  <a16:creationId xmlns:a16="http://schemas.microsoft.com/office/drawing/2014/main" id="{00000000-0008-0000-2300-00000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171450</xdr:rowOff>
        </xdr:from>
        <xdr:to>
          <xdr:col>2</xdr:col>
          <xdr:colOff>1924050</xdr:colOff>
          <xdr:row>25</xdr:row>
          <xdr:rowOff>47625</xdr:rowOff>
        </xdr:to>
        <xdr:sp macro="" textlink="">
          <xdr:nvSpPr>
            <xdr:cNvPr id="67586" name="Check Box 2" hidden="1">
              <a:extLst>
                <a:ext uri="{63B3BB69-23CF-44E3-9099-C40C66FF867C}">
                  <a14:compatExt spid="_x0000_s67586"/>
                </a:ext>
                <a:ext uri="{FF2B5EF4-FFF2-40B4-BE49-F238E27FC236}">
                  <a16:creationId xmlns:a16="http://schemas.microsoft.com/office/drawing/2014/main" id="{00000000-0008-0000-2300-00000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1924050</xdr:colOff>
          <xdr:row>26</xdr:row>
          <xdr:rowOff>9525</xdr:rowOff>
        </xdr:to>
        <xdr:sp macro="" textlink="">
          <xdr:nvSpPr>
            <xdr:cNvPr id="67587" name="Check Box 3" hidden="1">
              <a:extLst>
                <a:ext uri="{63B3BB69-23CF-44E3-9099-C40C66FF867C}">
                  <a14:compatExt spid="_x0000_s67587"/>
                </a:ext>
                <a:ext uri="{FF2B5EF4-FFF2-40B4-BE49-F238E27FC236}">
                  <a16:creationId xmlns:a16="http://schemas.microsoft.com/office/drawing/2014/main" id="{00000000-0008-0000-2300-00000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9525</xdr:rowOff>
        </xdr:from>
        <xdr:to>
          <xdr:col>2</xdr:col>
          <xdr:colOff>571500</xdr:colOff>
          <xdr:row>28</xdr:row>
          <xdr:rowOff>9525</xdr:rowOff>
        </xdr:to>
        <xdr:sp macro="" textlink="">
          <xdr:nvSpPr>
            <xdr:cNvPr id="67588" name="Check Box 4" hidden="1">
              <a:extLst>
                <a:ext uri="{63B3BB69-23CF-44E3-9099-C40C66FF867C}">
                  <a14:compatExt spid="_x0000_s67588"/>
                </a:ext>
                <a:ext uri="{FF2B5EF4-FFF2-40B4-BE49-F238E27FC236}">
                  <a16:creationId xmlns:a16="http://schemas.microsoft.com/office/drawing/2014/main" id="{00000000-0008-0000-2300-00000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26</xdr:row>
          <xdr:rowOff>0</xdr:rowOff>
        </xdr:from>
        <xdr:to>
          <xdr:col>2</xdr:col>
          <xdr:colOff>1171575</xdr:colOff>
          <xdr:row>27</xdr:row>
          <xdr:rowOff>38100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24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171450</xdr:rowOff>
        </xdr:from>
        <xdr:to>
          <xdr:col>3</xdr:col>
          <xdr:colOff>266700</xdr:colOff>
          <xdr:row>25</xdr:row>
          <xdr:rowOff>47625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24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3</xdr:col>
          <xdr:colOff>266700</xdr:colOff>
          <xdr:row>26</xdr:row>
          <xdr:rowOff>9525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24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9525</xdr:rowOff>
        </xdr:from>
        <xdr:to>
          <xdr:col>2</xdr:col>
          <xdr:colOff>571500</xdr:colOff>
          <xdr:row>28</xdr:row>
          <xdr:rowOff>9525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24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0</xdr:rowOff>
        </xdr:from>
        <xdr:to>
          <xdr:col>2</xdr:col>
          <xdr:colOff>1171575</xdr:colOff>
          <xdr:row>27</xdr:row>
          <xdr:rowOff>28575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24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171450</xdr:rowOff>
        </xdr:from>
        <xdr:to>
          <xdr:col>3</xdr:col>
          <xdr:colOff>266700</xdr:colOff>
          <xdr:row>25</xdr:row>
          <xdr:rowOff>28575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24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3</xdr:col>
          <xdr:colOff>266700</xdr:colOff>
          <xdr:row>26</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24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9525</xdr:rowOff>
        </xdr:from>
        <xdr:to>
          <xdr:col>2</xdr:col>
          <xdr:colOff>571500</xdr:colOff>
          <xdr:row>28</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24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0</xdr:rowOff>
        </xdr:from>
        <xdr:to>
          <xdr:col>2</xdr:col>
          <xdr:colOff>1171575</xdr:colOff>
          <xdr:row>27</xdr:row>
          <xdr:rowOff>28575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24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171450</xdr:rowOff>
        </xdr:from>
        <xdr:to>
          <xdr:col>3</xdr:col>
          <xdr:colOff>266700</xdr:colOff>
          <xdr:row>25</xdr:row>
          <xdr:rowOff>28575</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24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3</xdr:col>
          <xdr:colOff>266700</xdr:colOff>
          <xdr:row>26</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24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9525</xdr:rowOff>
        </xdr:from>
        <xdr:to>
          <xdr:col>2</xdr:col>
          <xdr:colOff>571500</xdr:colOff>
          <xdr:row>28</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24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26</xdr:row>
          <xdr:rowOff>0</xdr:rowOff>
        </xdr:from>
        <xdr:to>
          <xdr:col>2</xdr:col>
          <xdr:colOff>1171575</xdr:colOff>
          <xdr:row>27</xdr:row>
          <xdr:rowOff>38100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25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171450</xdr:rowOff>
        </xdr:from>
        <xdr:to>
          <xdr:col>3</xdr:col>
          <xdr:colOff>66675</xdr:colOff>
          <xdr:row>25</xdr:row>
          <xdr:rowOff>47625</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25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3</xdr:col>
          <xdr:colOff>66675</xdr:colOff>
          <xdr:row>26</xdr:row>
          <xdr:rowOff>9525</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25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9525</xdr:rowOff>
        </xdr:from>
        <xdr:to>
          <xdr:col>2</xdr:col>
          <xdr:colOff>571500</xdr:colOff>
          <xdr:row>28</xdr:row>
          <xdr:rowOff>9525</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25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3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28</xdr:row>
          <xdr:rowOff>0</xdr:rowOff>
        </xdr:from>
        <xdr:to>
          <xdr:col>2</xdr:col>
          <xdr:colOff>1171575</xdr:colOff>
          <xdr:row>29</xdr:row>
          <xdr:rowOff>38100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2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171450</xdr:rowOff>
        </xdr:from>
        <xdr:to>
          <xdr:col>3</xdr:col>
          <xdr:colOff>485775</xdr:colOff>
          <xdr:row>27</xdr:row>
          <xdr:rowOff>47625</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2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3</xdr:col>
          <xdr:colOff>485775</xdr:colOff>
          <xdr:row>28</xdr:row>
          <xdr:rowOff>9525</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2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9525</xdr:rowOff>
        </xdr:from>
        <xdr:to>
          <xdr:col>2</xdr:col>
          <xdr:colOff>571500</xdr:colOff>
          <xdr:row>30</xdr:row>
          <xdr:rowOff>9525</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2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27</xdr:row>
          <xdr:rowOff>0</xdr:rowOff>
        </xdr:from>
        <xdr:to>
          <xdr:col>2</xdr:col>
          <xdr:colOff>1171575</xdr:colOff>
          <xdr:row>28</xdr:row>
          <xdr:rowOff>38100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27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171450</xdr:rowOff>
        </xdr:from>
        <xdr:to>
          <xdr:col>3</xdr:col>
          <xdr:colOff>266700</xdr:colOff>
          <xdr:row>26</xdr:row>
          <xdr:rowOff>47625</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27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3</xdr:col>
          <xdr:colOff>266700</xdr:colOff>
          <xdr:row>27</xdr:row>
          <xdr:rowOff>9525</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27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9525</xdr:rowOff>
        </xdr:from>
        <xdr:to>
          <xdr:col>2</xdr:col>
          <xdr:colOff>571500</xdr:colOff>
          <xdr:row>29</xdr:row>
          <xdr:rowOff>9525</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27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3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31</xdr:row>
          <xdr:rowOff>0</xdr:rowOff>
        </xdr:from>
        <xdr:to>
          <xdr:col>2</xdr:col>
          <xdr:colOff>1171575</xdr:colOff>
          <xdr:row>32</xdr:row>
          <xdr:rowOff>38100</xdr:rowOff>
        </xdr:to>
        <xdr:sp macro="" textlink="">
          <xdr:nvSpPr>
            <xdr:cNvPr id="72705" name="Check Box 1" hidden="1">
              <a:extLst>
                <a:ext uri="{63B3BB69-23CF-44E3-9099-C40C66FF867C}">
                  <a14:compatExt spid="_x0000_s72705"/>
                </a:ext>
                <a:ext uri="{FF2B5EF4-FFF2-40B4-BE49-F238E27FC236}">
                  <a16:creationId xmlns:a16="http://schemas.microsoft.com/office/drawing/2014/main" id="{00000000-0008-0000-2800-000001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171450</xdr:rowOff>
        </xdr:from>
        <xdr:to>
          <xdr:col>3</xdr:col>
          <xdr:colOff>266700</xdr:colOff>
          <xdr:row>30</xdr:row>
          <xdr:rowOff>47625</xdr:rowOff>
        </xdr:to>
        <xdr:sp macro="" textlink="">
          <xdr:nvSpPr>
            <xdr:cNvPr id="72706" name="Check Box 2" hidden="1">
              <a:extLst>
                <a:ext uri="{63B3BB69-23CF-44E3-9099-C40C66FF867C}">
                  <a14:compatExt spid="_x0000_s72706"/>
                </a:ext>
                <a:ext uri="{FF2B5EF4-FFF2-40B4-BE49-F238E27FC236}">
                  <a16:creationId xmlns:a16="http://schemas.microsoft.com/office/drawing/2014/main" id="{00000000-0008-0000-2800-000002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30</xdr:row>
          <xdr:rowOff>28575</xdr:rowOff>
        </xdr:from>
        <xdr:to>
          <xdr:col>3</xdr:col>
          <xdr:colOff>266700</xdr:colOff>
          <xdr:row>31</xdr:row>
          <xdr:rowOff>9525</xdr:rowOff>
        </xdr:to>
        <xdr:sp macro="" textlink="">
          <xdr:nvSpPr>
            <xdr:cNvPr id="72707" name="Check Box 3" hidden="1">
              <a:extLst>
                <a:ext uri="{63B3BB69-23CF-44E3-9099-C40C66FF867C}">
                  <a14:compatExt spid="_x0000_s72707"/>
                </a:ext>
                <a:ext uri="{FF2B5EF4-FFF2-40B4-BE49-F238E27FC236}">
                  <a16:creationId xmlns:a16="http://schemas.microsoft.com/office/drawing/2014/main" id="{00000000-0008-0000-2800-000003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32</xdr:row>
          <xdr:rowOff>9525</xdr:rowOff>
        </xdr:from>
        <xdr:to>
          <xdr:col>2</xdr:col>
          <xdr:colOff>571500</xdr:colOff>
          <xdr:row>33</xdr:row>
          <xdr:rowOff>9525</xdr:rowOff>
        </xdr:to>
        <xdr:sp macro="" textlink="">
          <xdr:nvSpPr>
            <xdr:cNvPr id="72708" name="Check Box 4" hidden="1">
              <a:extLst>
                <a:ext uri="{63B3BB69-23CF-44E3-9099-C40C66FF867C}">
                  <a14:compatExt spid="_x0000_s72708"/>
                </a:ext>
                <a:ext uri="{FF2B5EF4-FFF2-40B4-BE49-F238E27FC236}">
                  <a16:creationId xmlns:a16="http://schemas.microsoft.com/office/drawing/2014/main" id="{00000000-0008-0000-2800-0000041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3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27</xdr:row>
          <xdr:rowOff>0</xdr:rowOff>
        </xdr:from>
        <xdr:to>
          <xdr:col>2</xdr:col>
          <xdr:colOff>1171575</xdr:colOff>
          <xdr:row>28</xdr:row>
          <xdr:rowOff>38100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29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171450</xdr:rowOff>
        </xdr:from>
        <xdr:to>
          <xdr:col>3</xdr:col>
          <xdr:colOff>133350</xdr:colOff>
          <xdr:row>26</xdr:row>
          <xdr:rowOff>47625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29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3</xdr:col>
          <xdr:colOff>133350</xdr:colOff>
          <xdr:row>27</xdr:row>
          <xdr:rowOff>9525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29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9525</xdr:rowOff>
        </xdr:from>
        <xdr:to>
          <xdr:col>2</xdr:col>
          <xdr:colOff>571500</xdr:colOff>
          <xdr:row>29</xdr:row>
          <xdr:rowOff>9525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29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3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27</xdr:row>
          <xdr:rowOff>0</xdr:rowOff>
        </xdr:from>
        <xdr:to>
          <xdr:col>2</xdr:col>
          <xdr:colOff>1171575</xdr:colOff>
          <xdr:row>28</xdr:row>
          <xdr:rowOff>38100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2A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171450</xdr:rowOff>
        </xdr:from>
        <xdr:to>
          <xdr:col>3</xdr:col>
          <xdr:colOff>266700</xdr:colOff>
          <xdr:row>26</xdr:row>
          <xdr:rowOff>47625</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2A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3</xdr:col>
          <xdr:colOff>266700</xdr:colOff>
          <xdr:row>27</xdr:row>
          <xdr:rowOff>9525</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2A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9525</xdr:rowOff>
        </xdr:from>
        <xdr:to>
          <xdr:col>2</xdr:col>
          <xdr:colOff>571500</xdr:colOff>
          <xdr:row>29</xdr:row>
          <xdr:rowOff>9525</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2A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26</xdr:row>
          <xdr:rowOff>0</xdr:rowOff>
        </xdr:from>
        <xdr:to>
          <xdr:col>2</xdr:col>
          <xdr:colOff>1171575</xdr:colOff>
          <xdr:row>27</xdr:row>
          <xdr:rowOff>38100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4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171450</xdr:rowOff>
        </xdr:from>
        <xdr:to>
          <xdr:col>2</xdr:col>
          <xdr:colOff>1924050</xdr:colOff>
          <xdr:row>25</xdr:row>
          <xdr:rowOff>47625</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4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1924050</xdr:colOff>
          <xdr:row>26</xdr:row>
          <xdr:rowOff>9525</xdr:rowOff>
        </xdr:to>
        <xdr:sp macro="" textlink="">
          <xdr:nvSpPr>
            <xdr:cNvPr id="71683" name="Check Box 3" hidden="1">
              <a:extLst>
                <a:ext uri="{63B3BB69-23CF-44E3-9099-C40C66FF867C}">
                  <a14:compatExt spid="_x0000_s71683"/>
                </a:ext>
                <a:ext uri="{FF2B5EF4-FFF2-40B4-BE49-F238E27FC236}">
                  <a16:creationId xmlns:a16="http://schemas.microsoft.com/office/drawing/2014/main" id="{00000000-0008-0000-0400-00000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9525</xdr:rowOff>
        </xdr:from>
        <xdr:to>
          <xdr:col>2</xdr:col>
          <xdr:colOff>571500</xdr:colOff>
          <xdr:row>28</xdr:row>
          <xdr:rowOff>9525</xdr:rowOff>
        </xdr:to>
        <xdr:sp macro="" textlink="">
          <xdr:nvSpPr>
            <xdr:cNvPr id="71684" name="Check Box 4" hidden="1">
              <a:extLst>
                <a:ext uri="{63B3BB69-23CF-44E3-9099-C40C66FF867C}">
                  <a14:compatExt spid="_x0000_s71684"/>
                </a:ext>
                <a:ext uri="{FF2B5EF4-FFF2-40B4-BE49-F238E27FC236}">
                  <a16:creationId xmlns:a16="http://schemas.microsoft.com/office/drawing/2014/main" id="{00000000-0008-0000-0400-00000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0</xdr:rowOff>
        </xdr:from>
        <xdr:to>
          <xdr:col>2</xdr:col>
          <xdr:colOff>1171575</xdr:colOff>
          <xdr:row>27</xdr:row>
          <xdr:rowOff>28575</xdr:rowOff>
        </xdr:to>
        <xdr:sp macro="" textlink="">
          <xdr:nvSpPr>
            <xdr:cNvPr id="71685" name="Check Box 5" hidden="1">
              <a:extLst>
                <a:ext uri="{63B3BB69-23CF-44E3-9099-C40C66FF867C}">
                  <a14:compatExt spid="_x0000_s71685"/>
                </a:ext>
                <a:ext uri="{FF2B5EF4-FFF2-40B4-BE49-F238E27FC236}">
                  <a16:creationId xmlns:a16="http://schemas.microsoft.com/office/drawing/2014/main" id="{00000000-0008-0000-0400-00000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171450</xdr:rowOff>
        </xdr:from>
        <xdr:to>
          <xdr:col>2</xdr:col>
          <xdr:colOff>1924050</xdr:colOff>
          <xdr:row>25</xdr:row>
          <xdr:rowOff>28575</xdr:rowOff>
        </xdr:to>
        <xdr:sp macro="" textlink="">
          <xdr:nvSpPr>
            <xdr:cNvPr id="71686" name="Check Box 6" hidden="1">
              <a:extLst>
                <a:ext uri="{63B3BB69-23CF-44E3-9099-C40C66FF867C}">
                  <a14:compatExt spid="_x0000_s71686"/>
                </a:ext>
                <a:ext uri="{FF2B5EF4-FFF2-40B4-BE49-F238E27FC236}">
                  <a16:creationId xmlns:a16="http://schemas.microsoft.com/office/drawing/2014/main" id="{00000000-0008-0000-0400-00000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1924050</xdr:colOff>
          <xdr:row>26</xdr:row>
          <xdr:rowOff>0</xdr:rowOff>
        </xdr:to>
        <xdr:sp macro="" textlink="">
          <xdr:nvSpPr>
            <xdr:cNvPr id="71687" name="Check Box 7" hidden="1">
              <a:extLst>
                <a:ext uri="{63B3BB69-23CF-44E3-9099-C40C66FF867C}">
                  <a14:compatExt spid="_x0000_s71687"/>
                </a:ext>
                <a:ext uri="{FF2B5EF4-FFF2-40B4-BE49-F238E27FC236}">
                  <a16:creationId xmlns:a16="http://schemas.microsoft.com/office/drawing/2014/main" id="{00000000-0008-0000-0400-00000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9525</xdr:rowOff>
        </xdr:from>
        <xdr:to>
          <xdr:col>2</xdr:col>
          <xdr:colOff>571500</xdr:colOff>
          <xdr:row>28</xdr:row>
          <xdr:rowOff>0</xdr:rowOff>
        </xdr:to>
        <xdr:sp macro="" textlink="">
          <xdr:nvSpPr>
            <xdr:cNvPr id="71688" name="Check Box 8" hidden="1">
              <a:extLst>
                <a:ext uri="{63B3BB69-23CF-44E3-9099-C40C66FF867C}">
                  <a14:compatExt spid="_x0000_s71688"/>
                </a:ext>
                <a:ext uri="{FF2B5EF4-FFF2-40B4-BE49-F238E27FC236}">
                  <a16:creationId xmlns:a16="http://schemas.microsoft.com/office/drawing/2014/main" id="{00000000-0008-0000-0400-00000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0</xdr:rowOff>
        </xdr:from>
        <xdr:to>
          <xdr:col>2</xdr:col>
          <xdr:colOff>1171575</xdr:colOff>
          <xdr:row>27</xdr:row>
          <xdr:rowOff>38100</xdr:rowOff>
        </xdr:to>
        <xdr:sp macro="" textlink="">
          <xdr:nvSpPr>
            <xdr:cNvPr id="71689" name="Check Box 9" hidden="1">
              <a:extLst>
                <a:ext uri="{63B3BB69-23CF-44E3-9099-C40C66FF867C}">
                  <a14:compatExt spid="_x0000_s71689"/>
                </a:ext>
                <a:ext uri="{FF2B5EF4-FFF2-40B4-BE49-F238E27FC236}">
                  <a16:creationId xmlns:a16="http://schemas.microsoft.com/office/drawing/2014/main" id="{00000000-0008-0000-0400-00000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171450</xdr:rowOff>
        </xdr:from>
        <xdr:to>
          <xdr:col>2</xdr:col>
          <xdr:colOff>1924050</xdr:colOff>
          <xdr:row>25</xdr:row>
          <xdr:rowOff>47625</xdr:rowOff>
        </xdr:to>
        <xdr:sp macro="" textlink="">
          <xdr:nvSpPr>
            <xdr:cNvPr id="71690" name="Check Box 10" hidden="1">
              <a:extLst>
                <a:ext uri="{63B3BB69-23CF-44E3-9099-C40C66FF867C}">
                  <a14:compatExt spid="_x0000_s71690"/>
                </a:ext>
                <a:ext uri="{FF2B5EF4-FFF2-40B4-BE49-F238E27FC236}">
                  <a16:creationId xmlns:a16="http://schemas.microsoft.com/office/drawing/2014/main" id="{00000000-0008-0000-0400-00000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2</xdr:col>
          <xdr:colOff>1924050</xdr:colOff>
          <xdr:row>26</xdr:row>
          <xdr:rowOff>9525</xdr:rowOff>
        </xdr:to>
        <xdr:sp macro="" textlink="">
          <xdr:nvSpPr>
            <xdr:cNvPr id="71691" name="Check Box 11" hidden="1">
              <a:extLst>
                <a:ext uri="{63B3BB69-23CF-44E3-9099-C40C66FF867C}">
                  <a14:compatExt spid="_x0000_s71691"/>
                </a:ext>
                <a:ext uri="{FF2B5EF4-FFF2-40B4-BE49-F238E27FC236}">
                  <a16:creationId xmlns:a16="http://schemas.microsoft.com/office/drawing/2014/main" id="{00000000-0008-0000-0400-00000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9525</xdr:rowOff>
        </xdr:from>
        <xdr:to>
          <xdr:col>2</xdr:col>
          <xdr:colOff>571500</xdr:colOff>
          <xdr:row>28</xdr:row>
          <xdr:rowOff>9525</xdr:rowOff>
        </xdr:to>
        <xdr:sp macro="" textlink="">
          <xdr:nvSpPr>
            <xdr:cNvPr id="71692" name="Check Box 12" hidden="1">
              <a:extLst>
                <a:ext uri="{63B3BB69-23CF-44E3-9099-C40C66FF867C}">
                  <a14:compatExt spid="_x0000_s71692"/>
                </a:ext>
                <a:ext uri="{FF2B5EF4-FFF2-40B4-BE49-F238E27FC236}">
                  <a16:creationId xmlns:a16="http://schemas.microsoft.com/office/drawing/2014/main" id="{00000000-0008-0000-0400-00000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28</xdr:row>
          <xdr:rowOff>0</xdr:rowOff>
        </xdr:from>
        <xdr:to>
          <xdr:col>2</xdr:col>
          <xdr:colOff>1171575</xdr:colOff>
          <xdr:row>29</xdr:row>
          <xdr:rowOff>38100</xdr:rowOff>
        </xdr:to>
        <xdr:sp macro="" textlink="">
          <xdr:nvSpPr>
            <xdr:cNvPr id="73729" name="Check Box 1" hidden="1">
              <a:extLst>
                <a:ext uri="{63B3BB69-23CF-44E3-9099-C40C66FF867C}">
                  <a14:compatExt spid="_x0000_s73729"/>
                </a:ext>
                <a:ext uri="{FF2B5EF4-FFF2-40B4-BE49-F238E27FC236}">
                  <a16:creationId xmlns:a16="http://schemas.microsoft.com/office/drawing/2014/main" id="{00000000-0008-0000-2B00-000001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171450</xdr:rowOff>
        </xdr:from>
        <xdr:to>
          <xdr:col>2</xdr:col>
          <xdr:colOff>1924050</xdr:colOff>
          <xdr:row>27</xdr:row>
          <xdr:rowOff>47625</xdr:rowOff>
        </xdr:to>
        <xdr:sp macro="" textlink="">
          <xdr:nvSpPr>
            <xdr:cNvPr id="73730" name="Check Box 2" hidden="1">
              <a:extLst>
                <a:ext uri="{63B3BB69-23CF-44E3-9099-C40C66FF867C}">
                  <a14:compatExt spid="_x0000_s73730"/>
                </a:ext>
                <a:ext uri="{FF2B5EF4-FFF2-40B4-BE49-F238E27FC236}">
                  <a16:creationId xmlns:a16="http://schemas.microsoft.com/office/drawing/2014/main" id="{00000000-0008-0000-2B00-000002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1924050</xdr:colOff>
          <xdr:row>28</xdr:row>
          <xdr:rowOff>9525</xdr:rowOff>
        </xdr:to>
        <xdr:sp macro="" textlink="">
          <xdr:nvSpPr>
            <xdr:cNvPr id="73731" name="Check Box 3" hidden="1">
              <a:extLst>
                <a:ext uri="{63B3BB69-23CF-44E3-9099-C40C66FF867C}">
                  <a14:compatExt spid="_x0000_s73731"/>
                </a:ext>
                <a:ext uri="{FF2B5EF4-FFF2-40B4-BE49-F238E27FC236}">
                  <a16:creationId xmlns:a16="http://schemas.microsoft.com/office/drawing/2014/main" id="{00000000-0008-0000-2B00-000003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9525</xdr:rowOff>
        </xdr:from>
        <xdr:to>
          <xdr:col>2</xdr:col>
          <xdr:colOff>571500</xdr:colOff>
          <xdr:row>30</xdr:row>
          <xdr:rowOff>9525</xdr:rowOff>
        </xdr:to>
        <xdr:sp macro="" textlink="">
          <xdr:nvSpPr>
            <xdr:cNvPr id="73732" name="Check Box 4" hidden="1">
              <a:extLst>
                <a:ext uri="{63B3BB69-23CF-44E3-9099-C40C66FF867C}">
                  <a14:compatExt spid="_x0000_s73732"/>
                </a:ext>
                <a:ext uri="{FF2B5EF4-FFF2-40B4-BE49-F238E27FC236}">
                  <a16:creationId xmlns:a16="http://schemas.microsoft.com/office/drawing/2014/main" id="{00000000-0008-0000-2B00-0000042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27</xdr:row>
          <xdr:rowOff>0</xdr:rowOff>
        </xdr:from>
        <xdr:to>
          <xdr:col>2</xdr:col>
          <xdr:colOff>1171575</xdr:colOff>
          <xdr:row>28</xdr:row>
          <xdr:rowOff>38100</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2C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171450</xdr:rowOff>
        </xdr:from>
        <xdr:to>
          <xdr:col>3</xdr:col>
          <xdr:colOff>266700</xdr:colOff>
          <xdr:row>26</xdr:row>
          <xdr:rowOff>47625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2C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3</xdr:col>
          <xdr:colOff>266700</xdr:colOff>
          <xdr:row>27</xdr:row>
          <xdr:rowOff>9525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2C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9525</xdr:rowOff>
        </xdr:from>
        <xdr:to>
          <xdr:col>2</xdr:col>
          <xdr:colOff>571500</xdr:colOff>
          <xdr:row>29</xdr:row>
          <xdr:rowOff>9525</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2C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28</xdr:row>
          <xdr:rowOff>0</xdr:rowOff>
        </xdr:from>
        <xdr:to>
          <xdr:col>2</xdr:col>
          <xdr:colOff>1171575</xdr:colOff>
          <xdr:row>29</xdr:row>
          <xdr:rowOff>38100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2D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171450</xdr:rowOff>
        </xdr:from>
        <xdr:to>
          <xdr:col>2</xdr:col>
          <xdr:colOff>1924050</xdr:colOff>
          <xdr:row>27</xdr:row>
          <xdr:rowOff>47625</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2D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28575</xdr:rowOff>
        </xdr:from>
        <xdr:to>
          <xdr:col>2</xdr:col>
          <xdr:colOff>1924050</xdr:colOff>
          <xdr:row>28</xdr:row>
          <xdr:rowOff>9525</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2D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29</xdr:row>
          <xdr:rowOff>9525</xdr:rowOff>
        </xdr:from>
        <xdr:to>
          <xdr:col>2</xdr:col>
          <xdr:colOff>571500</xdr:colOff>
          <xdr:row>30</xdr:row>
          <xdr:rowOff>9525</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2D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4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29</xdr:row>
          <xdr:rowOff>0</xdr:rowOff>
        </xdr:from>
        <xdr:to>
          <xdr:col>2</xdr:col>
          <xdr:colOff>1171575</xdr:colOff>
          <xdr:row>30</xdr:row>
          <xdr:rowOff>38100</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2E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171450</xdr:rowOff>
        </xdr:from>
        <xdr:to>
          <xdr:col>3</xdr:col>
          <xdr:colOff>266700</xdr:colOff>
          <xdr:row>28</xdr:row>
          <xdr:rowOff>47625</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2E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3</xdr:col>
          <xdr:colOff>266700</xdr:colOff>
          <xdr:row>29</xdr:row>
          <xdr:rowOff>9525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2E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9525</xdr:rowOff>
        </xdr:from>
        <xdr:to>
          <xdr:col>2</xdr:col>
          <xdr:colOff>571500</xdr:colOff>
          <xdr:row>31</xdr:row>
          <xdr:rowOff>9525</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2E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25</xdr:row>
          <xdr:rowOff>0</xdr:rowOff>
        </xdr:from>
        <xdr:to>
          <xdr:col>2</xdr:col>
          <xdr:colOff>1085850</xdr:colOff>
          <xdr:row>26</xdr:row>
          <xdr:rowOff>38100</xdr:rowOff>
        </xdr:to>
        <xdr:sp macro="" textlink="">
          <xdr:nvSpPr>
            <xdr:cNvPr id="235521" name="Check Box 1" hidden="1">
              <a:extLst>
                <a:ext uri="{63B3BB69-23CF-44E3-9099-C40C66FF867C}">
                  <a14:compatExt spid="_x0000_s235521"/>
                </a:ext>
                <a:ext uri="{FF2B5EF4-FFF2-40B4-BE49-F238E27FC236}">
                  <a16:creationId xmlns:a16="http://schemas.microsoft.com/office/drawing/2014/main" id="{00000000-0008-0000-2F00-0000019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171450</xdr:rowOff>
        </xdr:from>
        <xdr:to>
          <xdr:col>3</xdr:col>
          <xdr:colOff>285750</xdr:colOff>
          <xdr:row>24</xdr:row>
          <xdr:rowOff>47625</xdr:rowOff>
        </xdr:to>
        <xdr:sp macro="" textlink="">
          <xdr:nvSpPr>
            <xdr:cNvPr id="235522" name="Check Box 2" hidden="1">
              <a:extLst>
                <a:ext uri="{63B3BB69-23CF-44E3-9099-C40C66FF867C}">
                  <a14:compatExt spid="_x0000_s235522"/>
                </a:ext>
                <a:ext uri="{FF2B5EF4-FFF2-40B4-BE49-F238E27FC236}">
                  <a16:creationId xmlns:a16="http://schemas.microsoft.com/office/drawing/2014/main" id="{00000000-0008-0000-2F00-0000029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3</xdr:col>
          <xdr:colOff>285750</xdr:colOff>
          <xdr:row>25</xdr:row>
          <xdr:rowOff>9525</xdr:rowOff>
        </xdr:to>
        <xdr:sp macro="" textlink="">
          <xdr:nvSpPr>
            <xdr:cNvPr id="235523" name="Check Box 3" hidden="1">
              <a:extLst>
                <a:ext uri="{63B3BB69-23CF-44E3-9099-C40C66FF867C}">
                  <a14:compatExt spid="_x0000_s235523"/>
                </a:ext>
                <a:ext uri="{FF2B5EF4-FFF2-40B4-BE49-F238E27FC236}">
                  <a16:creationId xmlns:a16="http://schemas.microsoft.com/office/drawing/2014/main" id="{00000000-0008-0000-2F00-0000039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9525</xdr:rowOff>
        </xdr:from>
        <xdr:to>
          <xdr:col>2</xdr:col>
          <xdr:colOff>485775</xdr:colOff>
          <xdr:row>27</xdr:row>
          <xdr:rowOff>9525</xdr:rowOff>
        </xdr:to>
        <xdr:sp macro="" textlink="">
          <xdr:nvSpPr>
            <xdr:cNvPr id="235524" name="Check Box 4" hidden="1">
              <a:extLst>
                <a:ext uri="{63B3BB69-23CF-44E3-9099-C40C66FF867C}">
                  <a14:compatExt spid="_x0000_s235524"/>
                </a:ext>
                <a:ext uri="{FF2B5EF4-FFF2-40B4-BE49-F238E27FC236}">
                  <a16:creationId xmlns:a16="http://schemas.microsoft.com/office/drawing/2014/main" id="{00000000-0008-0000-2F00-00000498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4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331</xdr:row>
          <xdr:rowOff>0</xdr:rowOff>
        </xdr:from>
        <xdr:to>
          <xdr:col>1</xdr:col>
          <xdr:colOff>457200</xdr:colOff>
          <xdr:row>332</xdr:row>
          <xdr:rowOff>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3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331</xdr:row>
          <xdr:rowOff>0</xdr:rowOff>
        </xdr:from>
        <xdr:to>
          <xdr:col>1</xdr:col>
          <xdr:colOff>733425</xdr:colOff>
          <xdr:row>332</xdr:row>
          <xdr:rowOff>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3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331</xdr:row>
          <xdr:rowOff>0</xdr:rowOff>
        </xdr:from>
        <xdr:to>
          <xdr:col>1</xdr:col>
          <xdr:colOff>733425</xdr:colOff>
          <xdr:row>332</xdr:row>
          <xdr:rowOff>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3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331</xdr:row>
          <xdr:rowOff>0</xdr:rowOff>
        </xdr:from>
        <xdr:to>
          <xdr:col>1</xdr:col>
          <xdr:colOff>114300</xdr:colOff>
          <xdr:row>332</xdr:row>
          <xdr:rowOff>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30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xdr:row>
          <xdr:rowOff>0</xdr:rowOff>
        </xdr:from>
        <xdr:to>
          <xdr:col>2</xdr:col>
          <xdr:colOff>333375</xdr:colOff>
          <xdr:row>49</xdr:row>
          <xdr:rowOff>28575</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30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171450</xdr:rowOff>
        </xdr:from>
        <xdr:to>
          <xdr:col>2</xdr:col>
          <xdr:colOff>1085850</xdr:colOff>
          <xdr:row>47</xdr:row>
          <xdr:rowOff>28575</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30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28575</xdr:rowOff>
        </xdr:from>
        <xdr:to>
          <xdr:col>2</xdr:col>
          <xdr:colOff>1085850</xdr:colOff>
          <xdr:row>48</xdr:row>
          <xdr:rowOff>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30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9525</xdr:rowOff>
        </xdr:from>
        <xdr:to>
          <xdr:col>1</xdr:col>
          <xdr:colOff>2781300</xdr:colOff>
          <xdr:row>50</xdr:row>
          <xdr:rowOff>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30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xdr:row>
          <xdr:rowOff>0</xdr:rowOff>
        </xdr:from>
        <xdr:to>
          <xdr:col>2</xdr:col>
          <xdr:colOff>333375</xdr:colOff>
          <xdr:row>49</xdr:row>
          <xdr:rowOff>28575</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30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171450</xdr:rowOff>
        </xdr:from>
        <xdr:to>
          <xdr:col>2</xdr:col>
          <xdr:colOff>1085850</xdr:colOff>
          <xdr:row>47</xdr:row>
          <xdr:rowOff>28575</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30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28575</xdr:rowOff>
        </xdr:from>
        <xdr:to>
          <xdr:col>2</xdr:col>
          <xdr:colOff>1085850</xdr:colOff>
          <xdr:row>48</xdr:row>
          <xdr:rowOff>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30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9525</xdr:rowOff>
        </xdr:from>
        <xdr:to>
          <xdr:col>1</xdr:col>
          <xdr:colOff>2781300</xdr:colOff>
          <xdr:row>50</xdr:row>
          <xdr:rowOff>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30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48</xdr:row>
          <xdr:rowOff>0</xdr:rowOff>
        </xdr:from>
        <xdr:to>
          <xdr:col>2</xdr:col>
          <xdr:colOff>333375</xdr:colOff>
          <xdr:row>49</xdr:row>
          <xdr:rowOff>28575</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30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45</xdr:row>
          <xdr:rowOff>171450</xdr:rowOff>
        </xdr:from>
        <xdr:to>
          <xdr:col>2</xdr:col>
          <xdr:colOff>1085850</xdr:colOff>
          <xdr:row>47</xdr:row>
          <xdr:rowOff>28575</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30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47</xdr:row>
          <xdr:rowOff>28575</xdr:rowOff>
        </xdr:from>
        <xdr:to>
          <xdr:col>2</xdr:col>
          <xdr:colOff>1085850</xdr:colOff>
          <xdr:row>48</xdr:row>
          <xdr:rowOff>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30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49</xdr:row>
          <xdr:rowOff>9525</xdr:rowOff>
        </xdr:from>
        <xdr:to>
          <xdr:col>1</xdr:col>
          <xdr:colOff>2781300</xdr:colOff>
          <xdr:row>50</xdr:row>
          <xdr:rowOff>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30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25</xdr:row>
          <xdr:rowOff>0</xdr:rowOff>
        </xdr:from>
        <xdr:to>
          <xdr:col>2</xdr:col>
          <xdr:colOff>1085850</xdr:colOff>
          <xdr:row>26</xdr:row>
          <xdr:rowOff>28575</xdr:rowOff>
        </xdr:to>
        <xdr:sp macro="" textlink="">
          <xdr:nvSpPr>
            <xdr:cNvPr id="269313" name="Check Box 1" hidden="1">
              <a:extLst>
                <a:ext uri="{63B3BB69-23CF-44E3-9099-C40C66FF867C}">
                  <a14:compatExt spid="_x0000_s269313"/>
                </a:ext>
                <a:ext uri="{FF2B5EF4-FFF2-40B4-BE49-F238E27FC236}">
                  <a16:creationId xmlns:a16="http://schemas.microsoft.com/office/drawing/2014/main" id="{00000000-0008-0000-3100-0000011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171450</xdr:rowOff>
        </xdr:from>
        <xdr:to>
          <xdr:col>3</xdr:col>
          <xdr:colOff>285750</xdr:colOff>
          <xdr:row>24</xdr:row>
          <xdr:rowOff>28575</xdr:rowOff>
        </xdr:to>
        <xdr:sp macro="" textlink="">
          <xdr:nvSpPr>
            <xdr:cNvPr id="269314" name="Check Box 2" hidden="1">
              <a:extLst>
                <a:ext uri="{63B3BB69-23CF-44E3-9099-C40C66FF867C}">
                  <a14:compatExt spid="_x0000_s269314"/>
                </a:ext>
                <a:ext uri="{FF2B5EF4-FFF2-40B4-BE49-F238E27FC236}">
                  <a16:creationId xmlns:a16="http://schemas.microsoft.com/office/drawing/2014/main" id="{00000000-0008-0000-3100-0000021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3</xdr:col>
          <xdr:colOff>285750</xdr:colOff>
          <xdr:row>25</xdr:row>
          <xdr:rowOff>0</xdr:rowOff>
        </xdr:to>
        <xdr:sp macro="" textlink="">
          <xdr:nvSpPr>
            <xdr:cNvPr id="269315" name="Check Box 3" hidden="1">
              <a:extLst>
                <a:ext uri="{63B3BB69-23CF-44E3-9099-C40C66FF867C}">
                  <a14:compatExt spid="_x0000_s269315"/>
                </a:ext>
                <a:ext uri="{FF2B5EF4-FFF2-40B4-BE49-F238E27FC236}">
                  <a16:creationId xmlns:a16="http://schemas.microsoft.com/office/drawing/2014/main" id="{00000000-0008-0000-3100-0000031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9525</xdr:rowOff>
        </xdr:from>
        <xdr:to>
          <xdr:col>2</xdr:col>
          <xdr:colOff>485775</xdr:colOff>
          <xdr:row>27</xdr:row>
          <xdr:rowOff>0</xdr:rowOff>
        </xdr:to>
        <xdr:sp macro="" textlink="">
          <xdr:nvSpPr>
            <xdr:cNvPr id="269316" name="Check Box 4" hidden="1">
              <a:extLst>
                <a:ext uri="{63B3BB69-23CF-44E3-9099-C40C66FF867C}">
                  <a14:compatExt spid="_x0000_s269316"/>
                </a:ext>
                <a:ext uri="{FF2B5EF4-FFF2-40B4-BE49-F238E27FC236}">
                  <a16:creationId xmlns:a16="http://schemas.microsoft.com/office/drawing/2014/main" id="{00000000-0008-0000-3100-0000041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0</xdr:rowOff>
        </xdr:from>
        <xdr:to>
          <xdr:col>2</xdr:col>
          <xdr:colOff>1085850</xdr:colOff>
          <xdr:row>26</xdr:row>
          <xdr:rowOff>28575</xdr:rowOff>
        </xdr:to>
        <xdr:sp macro="" textlink="">
          <xdr:nvSpPr>
            <xdr:cNvPr id="269317" name="Check Box 5" hidden="1">
              <a:extLst>
                <a:ext uri="{63B3BB69-23CF-44E3-9099-C40C66FF867C}">
                  <a14:compatExt spid="_x0000_s269317"/>
                </a:ext>
                <a:ext uri="{FF2B5EF4-FFF2-40B4-BE49-F238E27FC236}">
                  <a16:creationId xmlns:a16="http://schemas.microsoft.com/office/drawing/2014/main" id="{00000000-0008-0000-3100-0000051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171450</xdr:rowOff>
        </xdr:from>
        <xdr:to>
          <xdr:col>3</xdr:col>
          <xdr:colOff>285750</xdr:colOff>
          <xdr:row>24</xdr:row>
          <xdr:rowOff>28575</xdr:rowOff>
        </xdr:to>
        <xdr:sp macro="" textlink="">
          <xdr:nvSpPr>
            <xdr:cNvPr id="269318" name="Check Box 6" hidden="1">
              <a:extLst>
                <a:ext uri="{63B3BB69-23CF-44E3-9099-C40C66FF867C}">
                  <a14:compatExt spid="_x0000_s269318"/>
                </a:ext>
                <a:ext uri="{FF2B5EF4-FFF2-40B4-BE49-F238E27FC236}">
                  <a16:creationId xmlns:a16="http://schemas.microsoft.com/office/drawing/2014/main" id="{00000000-0008-0000-3100-0000061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3</xdr:col>
          <xdr:colOff>285750</xdr:colOff>
          <xdr:row>25</xdr:row>
          <xdr:rowOff>0</xdr:rowOff>
        </xdr:to>
        <xdr:sp macro="" textlink="">
          <xdr:nvSpPr>
            <xdr:cNvPr id="269319" name="Check Box 7" hidden="1">
              <a:extLst>
                <a:ext uri="{63B3BB69-23CF-44E3-9099-C40C66FF867C}">
                  <a14:compatExt spid="_x0000_s269319"/>
                </a:ext>
                <a:ext uri="{FF2B5EF4-FFF2-40B4-BE49-F238E27FC236}">
                  <a16:creationId xmlns:a16="http://schemas.microsoft.com/office/drawing/2014/main" id="{00000000-0008-0000-3100-0000071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9525</xdr:rowOff>
        </xdr:from>
        <xdr:to>
          <xdr:col>2</xdr:col>
          <xdr:colOff>485775</xdr:colOff>
          <xdr:row>27</xdr:row>
          <xdr:rowOff>0</xdr:rowOff>
        </xdr:to>
        <xdr:sp macro="" textlink="">
          <xdr:nvSpPr>
            <xdr:cNvPr id="269320" name="Check Box 8" hidden="1">
              <a:extLst>
                <a:ext uri="{63B3BB69-23CF-44E3-9099-C40C66FF867C}">
                  <a14:compatExt spid="_x0000_s269320"/>
                </a:ext>
                <a:ext uri="{FF2B5EF4-FFF2-40B4-BE49-F238E27FC236}">
                  <a16:creationId xmlns:a16="http://schemas.microsoft.com/office/drawing/2014/main" id="{00000000-0008-0000-3100-0000081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4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25</xdr:row>
          <xdr:rowOff>0</xdr:rowOff>
        </xdr:from>
        <xdr:to>
          <xdr:col>2</xdr:col>
          <xdr:colOff>1085850</xdr:colOff>
          <xdr:row>26</xdr:row>
          <xdr:rowOff>28575</xdr:rowOff>
        </xdr:to>
        <xdr:sp macro="" textlink="">
          <xdr:nvSpPr>
            <xdr:cNvPr id="292865" name="Check Box 1" hidden="1">
              <a:extLst>
                <a:ext uri="{63B3BB69-23CF-44E3-9099-C40C66FF867C}">
                  <a14:compatExt spid="_x0000_s292865"/>
                </a:ext>
                <a:ext uri="{FF2B5EF4-FFF2-40B4-BE49-F238E27FC236}">
                  <a16:creationId xmlns:a16="http://schemas.microsoft.com/office/drawing/2014/main" id="{00000000-0008-0000-3200-0000017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171450</xdr:rowOff>
        </xdr:from>
        <xdr:to>
          <xdr:col>2</xdr:col>
          <xdr:colOff>1847850</xdr:colOff>
          <xdr:row>24</xdr:row>
          <xdr:rowOff>28575</xdr:rowOff>
        </xdr:to>
        <xdr:sp macro="" textlink="">
          <xdr:nvSpPr>
            <xdr:cNvPr id="292866" name="Check Box 2" hidden="1">
              <a:extLst>
                <a:ext uri="{63B3BB69-23CF-44E3-9099-C40C66FF867C}">
                  <a14:compatExt spid="_x0000_s292866"/>
                </a:ext>
                <a:ext uri="{FF2B5EF4-FFF2-40B4-BE49-F238E27FC236}">
                  <a16:creationId xmlns:a16="http://schemas.microsoft.com/office/drawing/2014/main" id="{00000000-0008-0000-3200-0000027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2</xdr:col>
          <xdr:colOff>1847850</xdr:colOff>
          <xdr:row>25</xdr:row>
          <xdr:rowOff>0</xdr:rowOff>
        </xdr:to>
        <xdr:sp macro="" textlink="">
          <xdr:nvSpPr>
            <xdr:cNvPr id="292867" name="Check Box 3" hidden="1">
              <a:extLst>
                <a:ext uri="{63B3BB69-23CF-44E3-9099-C40C66FF867C}">
                  <a14:compatExt spid="_x0000_s292867"/>
                </a:ext>
                <a:ext uri="{FF2B5EF4-FFF2-40B4-BE49-F238E27FC236}">
                  <a16:creationId xmlns:a16="http://schemas.microsoft.com/office/drawing/2014/main" id="{00000000-0008-0000-3200-0000037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9525</xdr:rowOff>
        </xdr:from>
        <xdr:to>
          <xdr:col>2</xdr:col>
          <xdr:colOff>485775</xdr:colOff>
          <xdr:row>27</xdr:row>
          <xdr:rowOff>0</xdr:rowOff>
        </xdr:to>
        <xdr:sp macro="" textlink="">
          <xdr:nvSpPr>
            <xdr:cNvPr id="292868" name="Check Box 4" hidden="1">
              <a:extLst>
                <a:ext uri="{63B3BB69-23CF-44E3-9099-C40C66FF867C}">
                  <a14:compatExt spid="_x0000_s292868"/>
                </a:ext>
                <a:ext uri="{FF2B5EF4-FFF2-40B4-BE49-F238E27FC236}">
                  <a16:creationId xmlns:a16="http://schemas.microsoft.com/office/drawing/2014/main" id="{00000000-0008-0000-3200-0000047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29</xdr:row>
          <xdr:rowOff>0</xdr:rowOff>
        </xdr:from>
        <xdr:to>
          <xdr:col>2</xdr:col>
          <xdr:colOff>1828800</xdr:colOff>
          <xdr:row>30</xdr:row>
          <xdr:rowOff>38100</xdr:rowOff>
        </xdr:to>
        <xdr:sp macro="" textlink="">
          <xdr:nvSpPr>
            <xdr:cNvPr id="70657" name="Check Box 1" hidden="1">
              <a:extLst>
                <a:ext uri="{63B3BB69-23CF-44E3-9099-C40C66FF867C}">
                  <a14:compatExt spid="_x0000_s70657"/>
                </a:ext>
                <a:ext uri="{FF2B5EF4-FFF2-40B4-BE49-F238E27FC236}">
                  <a16:creationId xmlns:a16="http://schemas.microsoft.com/office/drawing/2014/main" id="{00000000-0008-0000-0500-000001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171450</xdr:rowOff>
        </xdr:from>
        <xdr:to>
          <xdr:col>2</xdr:col>
          <xdr:colOff>2581275</xdr:colOff>
          <xdr:row>28</xdr:row>
          <xdr:rowOff>47625</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5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28</xdr:row>
          <xdr:rowOff>28575</xdr:rowOff>
        </xdr:from>
        <xdr:to>
          <xdr:col>2</xdr:col>
          <xdr:colOff>2581275</xdr:colOff>
          <xdr:row>29</xdr:row>
          <xdr:rowOff>9525</xdr:rowOff>
        </xdr:to>
        <xdr:sp macro="" textlink="">
          <xdr:nvSpPr>
            <xdr:cNvPr id="70659" name="Check Box 3" hidden="1">
              <a:extLst>
                <a:ext uri="{63B3BB69-23CF-44E3-9099-C40C66FF867C}">
                  <a14:compatExt spid="_x0000_s70659"/>
                </a:ext>
                <a:ext uri="{FF2B5EF4-FFF2-40B4-BE49-F238E27FC236}">
                  <a16:creationId xmlns:a16="http://schemas.microsoft.com/office/drawing/2014/main" id="{00000000-0008-0000-0500-000003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30</xdr:row>
          <xdr:rowOff>9525</xdr:rowOff>
        </xdr:from>
        <xdr:to>
          <xdr:col>2</xdr:col>
          <xdr:colOff>1228725</xdr:colOff>
          <xdr:row>31</xdr:row>
          <xdr:rowOff>9525</xdr:rowOff>
        </xdr:to>
        <xdr:sp macro="" textlink="">
          <xdr:nvSpPr>
            <xdr:cNvPr id="70660" name="Check Box 4" hidden="1">
              <a:extLst>
                <a:ext uri="{63B3BB69-23CF-44E3-9099-C40C66FF867C}">
                  <a14:compatExt spid="_x0000_s70660"/>
                </a:ext>
                <a:ext uri="{FF2B5EF4-FFF2-40B4-BE49-F238E27FC236}">
                  <a16:creationId xmlns:a16="http://schemas.microsoft.com/office/drawing/2014/main" id="{00000000-0008-0000-0500-000004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27</xdr:row>
          <xdr:rowOff>0</xdr:rowOff>
        </xdr:from>
        <xdr:to>
          <xdr:col>2</xdr:col>
          <xdr:colOff>1171575</xdr:colOff>
          <xdr:row>28</xdr:row>
          <xdr:rowOff>38100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171450</xdr:rowOff>
        </xdr:from>
        <xdr:to>
          <xdr:col>3</xdr:col>
          <xdr:colOff>266700</xdr:colOff>
          <xdr:row>26</xdr:row>
          <xdr:rowOff>47625</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3</xdr:col>
          <xdr:colOff>266700</xdr:colOff>
          <xdr:row>27</xdr:row>
          <xdr:rowOff>9525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9525</xdr:rowOff>
        </xdr:from>
        <xdr:to>
          <xdr:col>2</xdr:col>
          <xdr:colOff>571500</xdr:colOff>
          <xdr:row>29</xdr:row>
          <xdr:rowOff>9525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27</xdr:row>
          <xdr:rowOff>0</xdr:rowOff>
        </xdr:from>
        <xdr:to>
          <xdr:col>2</xdr:col>
          <xdr:colOff>1171575</xdr:colOff>
          <xdr:row>28</xdr:row>
          <xdr:rowOff>28575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171450</xdr:rowOff>
        </xdr:from>
        <xdr:to>
          <xdr:col>3</xdr:col>
          <xdr:colOff>266700</xdr:colOff>
          <xdr:row>26</xdr:row>
          <xdr:rowOff>28575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3</xdr:col>
          <xdr:colOff>266700</xdr:colOff>
          <xdr:row>27</xdr:row>
          <xdr:rowOff>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9525</xdr:rowOff>
        </xdr:from>
        <xdr:to>
          <xdr:col>2</xdr:col>
          <xdr:colOff>571500</xdr:colOff>
          <xdr:row>29</xdr:row>
          <xdr:rowOff>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27</xdr:row>
          <xdr:rowOff>0</xdr:rowOff>
        </xdr:from>
        <xdr:to>
          <xdr:col>2</xdr:col>
          <xdr:colOff>1171575</xdr:colOff>
          <xdr:row>28</xdr:row>
          <xdr:rowOff>38100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7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171450</xdr:rowOff>
        </xdr:from>
        <xdr:to>
          <xdr:col>3</xdr:col>
          <xdr:colOff>266700</xdr:colOff>
          <xdr:row>26</xdr:row>
          <xdr:rowOff>47625</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7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26</xdr:row>
          <xdr:rowOff>28575</xdr:rowOff>
        </xdr:from>
        <xdr:to>
          <xdr:col>3</xdr:col>
          <xdr:colOff>266700</xdr:colOff>
          <xdr:row>27</xdr:row>
          <xdr:rowOff>9525</xdr:rowOff>
        </xdr:to>
        <xdr:sp macro="" textlink="">
          <xdr:nvSpPr>
            <xdr:cNvPr id="43011" name="Check Box 3" hidden="1">
              <a:extLst>
                <a:ext uri="{63B3BB69-23CF-44E3-9099-C40C66FF867C}">
                  <a14:compatExt spid="_x0000_s43011"/>
                </a:ext>
                <a:ext uri="{FF2B5EF4-FFF2-40B4-BE49-F238E27FC236}">
                  <a16:creationId xmlns:a16="http://schemas.microsoft.com/office/drawing/2014/main" id="{00000000-0008-0000-0700-00000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28</xdr:row>
          <xdr:rowOff>9525</xdr:rowOff>
        </xdr:from>
        <xdr:to>
          <xdr:col>2</xdr:col>
          <xdr:colOff>571500</xdr:colOff>
          <xdr:row>29</xdr:row>
          <xdr:rowOff>9525</xdr:rowOff>
        </xdr:to>
        <xdr:sp macro="" textlink="">
          <xdr:nvSpPr>
            <xdr:cNvPr id="43012" name="Check Box 4" hidden="1">
              <a:extLst>
                <a:ext uri="{63B3BB69-23CF-44E3-9099-C40C66FF867C}">
                  <a14:compatExt spid="_x0000_s43012"/>
                </a:ext>
                <a:ext uri="{FF2B5EF4-FFF2-40B4-BE49-F238E27FC236}">
                  <a16:creationId xmlns:a16="http://schemas.microsoft.com/office/drawing/2014/main" id="{00000000-0008-0000-0700-000004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26</xdr:row>
          <xdr:rowOff>0</xdr:rowOff>
        </xdr:from>
        <xdr:to>
          <xdr:col>2</xdr:col>
          <xdr:colOff>1171575</xdr:colOff>
          <xdr:row>27</xdr:row>
          <xdr:rowOff>38100</xdr:rowOff>
        </xdr:to>
        <xdr:sp macro="" textlink="">
          <xdr:nvSpPr>
            <xdr:cNvPr id="38913" name="Check Box 1" hidden="1">
              <a:extLst>
                <a:ext uri="{63B3BB69-23CF-44E3-9099-C40C66FF867C}">
                  <a14:compatExt spid="_x0000_s38913"/>
                </a:ext>
                <a:ext uri="{FF2B5EF4-FFF2-40B4-BE49-F238E27FC236}">
                  <a16:creationId xmlns:a16="http://schemas.microsoft.com/office/drawing/2014/main" id="{00000000-0008-0000-08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23</xdr:row>
          <xdr:rowOff>171450</xdr:rowOff>
        </xdr:from>
        <xdr:to>
          <xdr:col>3</xdr:col>
          <xdr:colOff>266700</xdr:colOff>
          <xdr:row>25</xdr:row>
          <xdr:rowOff>47625</xdr:rowOff>
        </xdr:to>
        <xdr:sp macro="" textlink="">
          <xdr:nvSpPr>
            <xdr:cNvPr id="38914" name="Check Box 2" hidden="1">
              <a:extLst>
                <a:ext uri="{63B3BB69-23CF-44E3-9099-C40C66FF867C}">
                  <a14:compatExt spid="_x0000_s38914"/>
                </a:ext>
                <a:ext uri="{FF2B5EF4-FFF2-40B4-BE49-F238E27FC236}">
                  <a16:creationId xmlns:a16="http://schemas.microsoft.com/office/drawing/2014/main" id="{00000000-0008-0000-0800-000002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28575</xdr:rowOff>
        </xdr:from>
        <xdr:to>
          <xdr:col>3</xdr:col>
          <xdr:colOff>266700</xdr:colOff>
          <xdr:row>26</xdr:row>
          <xdr:rowOff>9525</xdr:rowOff>
        </xdr:to>
        <xdr:sp macro="" textlink="">
          <xdr:nvSpPr>
            <xdr:cNvPr id="38915" name="Check Box 3" hidden="1">
              <a:extLst>
                <a:ext uri="{63B3BB69-23CF-44E3-9099-C40C66FF867C}">
                  <a14:compatExt spid="_x0000_s38915"/>
                </a:ext>
                <a:ext uri="{FF2B5EF4-FFF2-40B4-BE49-F238E27FC236}">
                  <a16:creationId xmlns:a16="http://schemas.microsoft.com/office/drawing/2014/main" id="{00000000-0008-0000-0800-000003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27</xdr:row>
          <xdr:rowOff>9525</xdr:rowOff>
        </xdr:from>
        <xdr:to>
          <xdr:col>2</xdr:col>
          <xdr:colOff>571500</xdr:colOff>
          <xdr:row>28</xdr:row>
          <xdr:rowOff>9525</xdr:rowOff>
        </xdr:to>
        <xdr:sp macro="" textlink="">
          <xdr:nvSpPr>
            <xdr:cNvPr id="38916" name="Check Box 4" hidden="1">
              <a:extLst>
                <a:ext uri="{63B3BB69-23CF-44E3-9099-C40C66FF867C}">
                  <a14:compatExt spid="_x0000_s38916"/>
                </a:ext>
                <a:ext uri="{FF2B5EF4-FFF2-40B4-BE49-F238E27FC236}">
                  <a16:creationId xmlns:a16="http://schemas.microsoft.com/office/drawing/2014/main" id="{00000000-0008-0000-0800-000004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25</xdr:row>
          <xdr:rowOff>0</xdr:rowOff>
        </xdr:from>
        <xdr:to>
          <xdr:col>2</xdr:col>
          <xdr:colOff>1171575</xdr:colOff>
          <xdr:row>26</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171450</xdr:rowOff>
        </xdr:from>
        <xdr:to>
          <xdr:col>3</xdr:col>
          <xdr:colOff>266700</xdr:colOff>
          <xdr:row>24</xdr:row>
          <xdr:rowOff>47625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9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3</xdr:col>
          <xdr:colOff>266700</xdr:colOff>
          <xdr:row>25</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9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9525</xdr:rowOff>
        </xdr:from>
        <xdr:to>
          <xdr:col>2</xdr:col>
          <xdr:colOff>571500</xdr:colOff>
          <xdr:row>27</xdr:row>
          <xdr:rowOff>9525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9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25</xdr:row>
          <xdr:rowOff>0</xdr:rowOff>
        </xdr:from>
        <xdr:to>
          <xdr:col>2</xdr:col>
          <xdr:colOff>1171575</xdr:colOff>
          <xdr:row>26</xdr:row>
          <xdr:rowOff>28575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9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«Արտադրել - գնել» այլընտրանքի կիրառում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22</xdr:row>
          <xdr:rowOff>171450</xdr:rowOff>
        </xdr:from>
        <xdr:to>
          <xdr:col>3</xdr:col>
          <xdr:colOff>266700</xdr:colOff>
          <xdr:row>24</xdr:row>
          <xdr:rowOff>28575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9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սպառման ծավալների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24</xdr:row>
          <xdr:rowOff>28575</xdr:rowOff>
        </xdr:from>
        <xdr:to>
          <xdr:col>3</xdr:col>
          <xdr:colOff>266700</xdr:colOff>
          <xdr:row>25</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9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Կիրառվող ռեսուրսների տեսակներում (համախմբությունում) փոփոխություն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26</xdr:row>
          <xdr:rowOff>9525</xdr:rowOff>
        </xdr:from>
        <xdr:to>
          <xdr:col>2</xdr:col>
          <xdr:colOff>571500</xdr:colOff>
          <xdr:row>27</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9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en-US" sz="1100" b="0" i="0" u="none" strike="noStrike" baseline="0">
                  <a:solidFill>
                    <a:srgbClr val="000000"/>
                  </a:solidFill>
                  <a:latin typeface="Calibri"/>
                  <a:ea typeface="Calibri"/>
                  <a:cs typeface="Calibri"/>
                </a:rPr>
                <a:t>Այլ (նկարագրել)՝</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392;&#1377;&#1397;&#1407;&#1381;&#1408;%20&#1398;&#1400;&#1408;&#1381;&#1408;/1022-11001%20&#1389;&#1377;&#1394;&#1400;&#1394;/Copy%20of%20&#1344;&#1377;&#1406;&#1381;&#1388;&#1406;&#1377;&#1390;%201%20(0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331;&#1387;&#1407;&#1377;&#1391;&#1377;&#1398;/&#1344;&#1377;&#1406;&#1381;&#1388;&#1406;&#1377;&#1390;%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348;&#1338;&#1342;&#1342;%202024/1058-11001/&#1343;&#1377;&#1404;&#1377;&#1406;&#1377;&#1408;&#1396;&#1377;&#1398;-&#1377;&#1402;&#1377;&#1408;&#1377;&#1407;-2024-20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348;&#1338;&#1342;&#1342;%202024/1086-12003%20&#1359;&#1408;&#1400;&#1398;%20&#1366;&#1408;&#1377;&#1398;&#1405;&#1387;&#1377;&#1391;&#1377;&#1398;/&#1344;&#1377;&#1406;&#1381;&#1388;&#1406;&#1377;&#1390;&#1398;&#1381;&#1408;%203-10%20AFD%20&#1366;&#1360;&#1329;&#1350;&#1357;&#1339;&#1329;&#1343;&#1329;&#135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348;&#1338;&#1342;&#1342;%202024/1086-31001%20&#1359;&#1377;&#1408;&#1400;&#1398;%20&#1414;&#1408;&#1377;&#1398;&#1405;&#1387;&#1377;&#1391;&#1377;&#1398;/&#1344;&#1377;&#1406;&#1381;&#1388;&#1406;&#1377;&#1390;%201%201086-310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1348;&#1338;&#1342;&#1342;%202024/1190-11001/&#1343;&#1377;&#1404;&#1377;&#1406;&#1377;&#1408;&#1396;&#1377;&#1398;_&#1377;&#1402;&#1377;&#1408;&#1377;&#1407;-&#1382;&#1378;&#1400;&#1405;-2024-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Հ1 Ձև1 "/>
      <sheetName val="Հ1 Ձև 2 (1) "/>
      <sheetName val="Հ1 Ձև 2 (2)"/>
      <sheetName val="Լրացման պահանջներ"/>
    </sheetNames>
    <sheetDataSet>
      <sheetData sheetId="0" refreshError="1"/>
      <sheetData sheetId="1" refreshError="1">
        <row r="5">
          <cell r="F5"/>
        </row>
        <row r="6">
          <cell r="C6" t="str">
            <v xml:space="preserve"> Գյուղատնտեսության խթանման  ծրագիր</v>
          </cell>
          <cell r="F6"/>
        </row>
        <row r="8">
          <cell r="C8" t="str">
            <v>«Պետական աջակցություն Հայաստանի Հանրապետության խաղողագործության և գինեգործության ոլորտներում վարվող պետական քաղաքականության ու զարգացման ծրագրերի իրականացման»</v>
          </cell>
        </row>
        <row r="13">
          <cell r="B13" t="str">
            <v>Հայեցողական (ոչ շարունակական)</v>
          </cell>
        </row>
      </sheetData>
      <sheetData sheetId="2" refreshError="1"/>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Հ1 Ձև1 "/>
      <sheetName val="Հ1 Ձև 2 (1) "/>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ԱՄՓՈՓ"/>
      <sheetName val="2-ԸՆԴԱՄԵՆԸ ԾԱԽՍԵՐ"/>
      <sheetName val="3-Ծախսերի բացվածք"/>
      <sheetName val="4-փոստային կապ"/>
      <sheetName val="5-ԿԱՊ"/>
      <sheetName val="7-էլ-էներգիա"/>
      <sheetName val="9-գազով ջեռուցում"/>
      <sheetName val="10-գործուղում"/>
      <sheetName val="11-ավտոմեքենա"/>
      <sheetName val="12-վարչական սարքավորումներ"/>
      <sheetName val="14տարածքներ"/>
      <sheetName val="15ընթացիկ նորոգում"/>
      <sheetName val="16վերապատրաստում"/>
      <sheetName val="17կառուցվածք"/>
      <sheetName val="18հաստիքացուցակ պետ-ծառ"/>
      <sheetName val="31աշխատավարձի ֆոնդ"/>
    </sheetNames>
    <sheetDataSet>
      <sheetData sheetId="0"/>
      <sheetData sheetId="1">
        <row r="16">
          <cell r="G16">
            <v>2579739.1079999995</v>
          </cell>
        </row>
        <row r="18">
          <cell r="E18">
            <v>1902959.7799999998</v>
          </cell>
          <cell r="F18">
            <v>2178314.1</v>
          </cell>
          <cell r="G18">
            <v>2238124.2079999996</v>
          </cell>
          <cell r="K18">
            <v>2255227.234464</v>
          </cell>
          <cell r="L18">
            <v>2269356.4395520003</v>
          </cell>
        </row>
        <row r="24">
          <cell r="E24">
            <v>41036.699999999997</v>
          </cell>
          <cell r="F24">
            <v>65271.4</v>
          </cell>
          <cell r="G24">
            <v>69281</v>
          </cell>
          <cell r="K24">
            <v>69281</v>
          </cell>
          <cell r="L24">
            <v>69281</v>
          </cell>
        </row>
        <row r="29">
          <cell r="E29">
            <v>1522.21</v>
          </cell>
          <cell r="F29">
            <v>835.5</v>
          </cell>
          <cell r="G29">
            <v>1770</v>
          </cell>
          <cell r="K29">
            <v>1770</v>
          </cell>
          <cell r="L29">
            <v>1770</v>
          </cell>
        </row>
        <row r="33">
          <cell r="E33">
            <v>6381.48</v>
          </cell>
          <cell r="F33">
            <v>12311</v>
          </cell>
          <cell r="G33">
            <v>16728</v>
          </cell>
          <cell r="K33">
            <v>16728</v>
          </cell>
          <cell r="L33">
            <v>16728</v>
          </cell>
        </row>
        <row r="34">
          <cell r="E34">
            <v>940</v>
          </cell>
          <cell r="F34">
            <v>1120</v>
          </cell>
          <cell r="G34">
            <v>1120</v>
          </cell>
          <cell r="K34">
            <v>1120</v>
          </cell>
          <cell r="L34">
            <v>1120</v>
          </cell>
        </row>
        <row r="35">
          <cell r="D35" t="str">
            <v>Գույքի և սարքավորումների վարձակալություն</v>
          </cell>
          <cell r="E35">
            <v>41827.599999999999</v>
          </cell>
          <cell r="G35">
            <v>39600</v>
          </cell>
          <cell r="K35">
            <v>39600</v>
          </cell>
          <cell r="L35">
            <v>39600</v>
          </cell>
        </row>
        <row r="37">
          <cell r="G37">
            <v>15100</v>
          </cell>
          <cell r="K37">
            <v>15100</v>
          </cell>
          <cell r="L37">
            <v>15100</v>
          </cell>
        </row>
        <row r="39">
          <cell r="E39">
            <v>1431.5</v>
          </cell>
          <cell r="F39">
            <v>5000</v>
          </cell>
        </row>
        <row r="42">
          <cell r="E42">
            <v>17716.7</v>
          </cell>
          <cell r="F42">
            <v>25631</v>
          </cell>
          <cell r="G42">
            <v>23001</v>
          </cell>
          <cell r="K42">
            <v>22901</v>
          </cell>
          <cell r="L42">
            <v>22901</v>
          </cell>
        </row>
        <row r="43">
          <cell r="E43">
            <v>230</v>
          </cell>
          <cell r="F43">
            <v>1600</v>
          </cell>
          <cell r="G43">
            <v>1600</v>
          </cell>
          <cell r="K43">
            <v>1600</v>
          </cell>
        </row>
        <row r="44">
          <cell r="E44">
            <v>3630.85</v>
          </cell>
          <cell r="F44">
            <v>6300</v>
          </cell>
          <cell r="G44">
            <v>6800</v>
          </cell>
          <cell r="K44">
            <v>6800</v>
          </cell>
        </row>
        <row r="45">
          <cell r="D45" t="str">
            <v>Կառավարչական ծառայություններ</v>
          </cell>
          <cell r="F45">
            <v>20000</v>
          </cell>
          <cell r="G45">
            <v>20000</v>
          </cell>
          <cell r="K45">
            <v>20000</v>
          </cell>
        </row>
        <row r="47">
          <cell r="E47">
            <v>23015.13</v>
          </cell>
          <cell r="F47">
            <v>3000</v>
          </cell>
          <cell r="G47">
            <v>10000</v>
          </cell>
          <cell r="K47">
            <v>10000</v>
          </cell>
        </row>
        <row r="48">
          <cell r="E48">
            <v>21746.5</v>
          </cell>
          <cell r="F48">
            <v>21400</v>
          </cell>
          <cell r="G48">
            <v>34784</v>
          </cell>
          <cell r="K48">
            <v>34784</v>
          </cell>
        </row>
        <row r="49">
          <cell r="D49" t="str">
            <v>Մասնագիտական ծառայություններ</v>
          </cell>
          <cell r="E49">
            <v>21613</v>
          </cell>
          <cell r="F49">
            <v>36430</v>
          </cell>
          <cell r="G49">
            <v>45430</v>
          </cell>
          <cell r="K49">
            <v>45430</v>
          </cell>
        </row>
        <row r="50">
          <cell r="D50" t="str">
            <v>Շենքերի և կառույցների ընթացիկ նորոգում և պահպանում</v>
          </cell>
          <cell r="F50">
            <v>12112.1</v>
          </cell>
          <cell r="G50">
            <v>5000</v>
          </cell>
          <cell r="K50">
            <v>5000</v>
          </cell>
        </row>
        <row r="51">
          <cell r="E51">
            <v>5499.87</v>
          </cell>
          <cell r="F51">
            <v>12192</v>
          </cell>
          <cell r="G51">
            <v>12192</v>
          </cell>
          <cell r="K51">
            <v>12192</v>
          </cell>
        </row>
        <row r="55">
          <cell r="E55">
            <v>7779.41</v>
          </cell>
          <cell r="F55">
            <v>7536.1</v>
          </cell>
          <cell r="G55">
            <v>7536.1</v>
          </cell>
          <cell r="K55">
            <v>7536.1</v>
          </cell>
        </row>
        <row r="60">
          <cell r="E60">
            <v>9826.19</v>
          </cell>
          <cell r="F60">
            <v>23600</v>
          </cell>
          <cell r="G60">
            <v>23600</v>
          </cell>
          <cell r="K60">
            <v>23600</v>
          </cell>
        </row>
        <row r="62">
          <cell r="E62">
            <v>1623.1</v>
          </cell>
          <cell r="F62">
            <v>3142.3</v>
          </cell>
          <cell r="G62">
            <v>4494.3</v>
          </cell>
          <cell r="K62">
            <v>4494.3</v>
          </cell>
        </row>
        <row r="74">
          <cell r="E74">
            <v>2153.2399999999998</v>
          </cell>
          <cell r="F74">
            <v>1980.3</v>
          </cell>
          <cell r="G74">
            <v>3578.5</v>
          </cell>
          <cell r="K74">
            <v>3578.5</v>
          </cell>
        </row>
        <row r="88">
          <cell r="E88">
            <v>50939.6</v>
          </cell>
          <cell r="K88">
            <v>102086.6</v>
          </cell>
        </row>
        <row r="89">
          <cell r="E89">
            <v>721.8</v>
          </cell>
          <cell r="G89">
            <v>2432.5</v>
          </cell>
          <cell r="K89">
            <v>2432.5</v>
          </cell>
        </row>
        <row r="92">
          <cell r="G92">
            <v>2334000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Հ3 Մաս 1 և 2"/>
      <sheetName val="Հ3 Մաս 3"/>
      <sheetName val="Հ3 Մաս 4"/>
      <sheetName val="Հ4"/>
      <sheetName val="Հ5"/>
      <sheetName val="Հ7 Ձև1"/>
      <sheetName val="Հ7 Ձև1 Euro"/>
      <sheetName val="Հ7 Ձև2"/>
      <sheetName val="Հ7 Ձև2 EURO"/>
      <sheetName val="Հ8"/>
      <sheetName val="Հ9"/>
      <sheetName val="Հ10"/>
      <sheetName val="Լրացման պահանջներ"/>
    </sheetNames>
    <sheetDataSet>
      <sheetData sheetId="0">
        <row r="38">
          <cell r="E38">
            <v>0</v>
          </cell>
          <cell r="F38">
            <v>216381</v>
          </cell>
          <cell r="G38">
            <v>441444.9</v>
          </cell>
          <cell r="H38">
            <v>441444.9</v>
          </cell>
          <cell r="I38">
            <v>220722.5</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Հ1 Ձև1 "/>
      <sheetName val="1086-12003"/>
    </sheetNames>
    <sheetDataSet>
      <sheetData sheetId="0"/>
      <sheetData sheetId="1">
        <row r="5">
          <cell r="C5">
            <v>1086</v>
          </cell>
          <cell r="F5">
            <v>2021</v>
          </cell>
        </row>
        <row r="6">
          <cell r="C6" t="str">
            <v>Գյուղական ենթակառուցվածքների վերականգնում և զարգացում</v>
          </cell>
          <cell r="F6">
            <v>2024</v>
          </cell>
        </row>
        <row r="7">
          <cell r="C7">
            <v>31001</v>
          </cell>
        </row>
        <row r="8">
          <cell r="C8" t="str">
            <v xml:space="preserve"> Զարգացման ֆրանսիական գործակալության աջակցությամբ իրականացվող ՀՀ Արարատի և Արմավիրի մարզերում Ոռոգվող գյուղատնտեսության զարգացման դրամաշնորհային ծրագիր</v>
          </cell>
        </row>
        <row r="13">
          <cell r="B13" t="str">
            <v>Հայեցողական (ոչ շարունակական)</v>
          </cell>
        </row>
        <row r="37">
          <cell r="C37">
            <v>0</v>
          </cell>
          <cell r="D37">
            <v>121493.9</v>
          </cell>
          <cell r="E37">
            <v>0</v>
          </cell>
          <cell r="F37">
            <v>0</v>
          </cell>
          <cell r="G37">
            <v>0</v>
          </cell>
          <cell r="H37">
            <v>28012.400000000001</v>
          </cell>
          <cell r="I37">
            <v>0</v>
          </cell>
          <cell r="J37">
            <v>0</v>
          </cell>
          <cell r="K37">
            <v>28012.400000000001</v>
          </cell>
          <cell r="L37">
            <v>0</v>
          </cell>
          <cell r="M37">
            <v>0</v>
          </cell>
          <cell r="N37">
            <v>0</v>
          </cell>
          <cell r="O37">
            <v>0</v>
          </cell>
          <cell r="P37">
            <v>0</v>
          </cell>
          <cell r="Q37">
            <v>28012.400000000001</v>
          </cell>
          <cell r="R37">
            <v>0</v>
          </cell>
          <cell r="S37">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ԱՄՓՈՓ"/>
      <sheetName val="2-ԸՆԴԱՄԵՆԸ ԾԱԽՍԵՐ"/>
      <sheetName val="3-Ծախսերի բացվածք"/>
      <sheetName val="10-գործուղում"/>
      <sheetName val="11-ավտոմեքենա"/>
      <sheetName val="15կառուցվածք"/>
      <sheetName val="16հաստիքացուցակ"/>
      <sheetName val="29աշխատավարձի ֆոնդ"/>
    </sheetNames>
    <sheetDataSet>
      <sheetData sheetId="0"/>
      <sheetData sheetId="1">
        <row r="14">
          <cell r="G14">
            <v>153853.37599999999</v>
          </cell>
          <cell r="K14">
            <v>153642.50099999999</v>
          </cell>
          <cell r="L14">
            <v>154795.54799999998</v>
          </cell>
        </row>
        <row r="18">
          <cell r="E18">
            <v>129412.9</v>
          </cell>
          <cell r="F18">
            <v>142546.6</v>
          </cell>
          <cell r="G18">
            <v>148916.576</v>
          </cell>
          <cell r="K18">
            <v>148705.701</v>
          </cell>
          <cell r="L18">
            <v>149858.74799999999</v>
          </cell>
        </row>
        <row r="34">
          <cell r="F34">
            <v>40</v>
          </cell>
          <cell r="G34">
            <v>40</v>
          </cell>
        </row>
        <row r="37">
          <cell r="G37">
            <v>1300</v>
          </cell>
        </row>
        <row r="39">
          <cell r="E39">
            <v>211.4</v>
          </cell>
          <cell r="F39">
            <v>1300</v>
          </cell>
        </row>
        <row r="42">
          <cell r="E42"/>
          <cell r="F42">
            <v>656</v>
          </cell>
          <cell r="G42">
            <v>656</v>
          </cell>
        </row>
        <row r="44">
          <cell r="F44">
            <v>500</v>
          </cell>
        </row>
        <row r="47">
          <cell r="E47">
            <v>736.3</v>
          </cell>
          <cell r="F47">
            <v>300</v>
          </cell>
          <cell r="G47">
            <v>300</v>
          </cell>
        </row>
        <row r="51">
          <cell r="E51">
            <v>99.2</v>
          </cell>
          <cell r="F51">
            <v>600</v>
          </cell>
          <cell r="G51">
            <v>600</v>
          </cell>
        </row>
        <row r="55">
          <cell r="E55">
            <v>191.42599999999999</v>
          </cell>
          <cell r="F55">
            <v>613.79999999999995</v>
          </cell>
          <cell r="G55">
            <v>613.79999999999995</v>
          </cell>
        </row>
        <row r="60">
          <cell r="E60">
            <v>608.79999999999995</v>
          </cell>
          <cell r="F60">
            <v>789</v>
          </cell>
          <cell r="G60">
            <v>800.3</v>
          </cell>
        </row>
        <row r="62">
          <cell r="E62">
            <v>103.7</v>
          </cell>
          <cell r="G62">
            <v>103.7</v>
          </cell>
        </row>
        <row r="73">
          <cell r="E73">
            <v>0</v>
          </cell>
          <cell r="F73">
            <v>11</v>
          </cell>
          <cell r="G73">
            <v>23</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7.xml"/><Relationship Id="rId3" Type="http://schemas.openxmlformats.org/officeDocument/2006/relationships/vmlDrawing" Target="../drawings/vmlDrawing9.vml"/><Relationship Id="rId7" Type="http://schemas.openxmlformats.org/officeDocument/2006/relationships/ctrlProp" Target="../ctrlProps/ctrlProp56.xml"/><Relationship Id="rId2" Type="http://schemas.openxmlformats.org/officeDocument/2006/relationships/drawing" Target="../drawings/drawing9.xml"/><Relationship Id="rId1" Type="http://schemas.openxmlformats.org/officeDocument/2006/relationships/printerSettings" Target="../printerSettings/printerSettings4.bin"/><Relationship Id="rId6" Type="http://schemas.openxmlformats.org/officeDocument/2006/relationships/ctrlProp" Target="../ctrlProps/ctrlProp55.xml"/><Relationship Id="rId11" Type="http://schemas.openxmlformats.org/officeDocument/2006/relationships/ctrlProp" Target="../ctrlProps/ctrlProp60.xml"/><Relationship Id="rId5" Type="http://schemas.openxmlformats.org/officeDocument/2006/relationships/ctrlProp" Target="../ctrlProps/ctrlProp54.xml"/><Relationship Id="rId10" Type="http://schemas.openxmlformats.org/officeDocument/2006/relationships/ctrlProp" Target="../ctrlProps/ctrlProp59.xml"/><Relationship Id="rId4" Type="http://schemas.openxmlformats.org/officeDocument/2006/relationships/ctrlProp" Target="../ctrlProps/ctrlProp53.xml"/><Relationship Id="rId9" Type="http://schemas.openxmlformats.org/officeDocument/2006/relationships/ctrlProp" Target="../ctrlProps/ctrlProp5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64.xml"/><Relationship Id="rId2" Type="http://schemas.openxmlformats.org/officeDocument/2006/relationships/drawing" Target="../drawings/drawing10.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5" Type="http://schemas.openxmlformats.org/officeDocument/2006/relationships/ctrlProp" Target="../ctrlProps/ctrlProp62.xml"/><Relationship Id="rId4" Type="http://schemas.openxmlformats.org/officeDocument/2006/relationships/ctrlProp" Target="../ctrlProps/ctrlProp61.xml"/></Relationships>
</file>

<file path=xl/worksheets/_rels/sheet12.xml.rels><?xml version="1.0" encoding="UTF-8" standalone="yes"?>
<Relationships xmlns="http://schemas.openxmlformats.org/package/2006/relationships"><Relationship Id="rId3" Type="http://schemas.openxmlformats.org/officeDocument/2006/relationships/ctrlProp" Target="../ctrlProps/ctrlProp65.xml"/><Relationship Id="rId2" Type="http://schemas.openxmlformats.org/officeDocument/2006/relationships/vmlDrawing" Target="../drawings/vmlDrawing11.vml"/><Relationship Id="rId1" Type="http://schemas.openxmlformats.org/officeDocument/2006/relationships/drawing" Target="../drawings/drawing11.xml"/><Relationship Id="rId6" Type="http://schemas.openxmlformats.org/officeDocument/2006/relationships/ctrlProp" Target="../ctrlProps/ctrlProp68.xml"/><Relationship Id="rId5" Type="http://schemas.openxmlformats.org/officeDocument/2006/relationships/ctrlProp" Target="../ctrlProps/ctrlProp67.xml"/><Relationship Id="rId4" Type="http://schemas.openxmlformats.org/officeDocument/2006/relationships/ctrlProp" Target="../ctrlProps/ctrlProp66.xml"/></Relationships>
</file>

<file path=xl/worksheets/_rels/sheet13.xml.rels><?xml version="1.0" encoding="UTF-8" standalone="yes"?>
<Relationships xmlns="http://schemas.openxmlformats.org/package/2006/relationships"><Relationship Id="rId3" Type="http://schemas.openxmlformats.org/officeDocument/2006/relationships/ctrlProp" Target="../ctrlProps/ctrlProp69.xml"/><Relationship Id="rId2" Type="http://schemas.openxmlformats.org/officeDocument/2006/relationships/vmlDrawing" Target="../drawings/vmlDrawing12.vml"/><Relationship Id="rId1" Type="http://schemas.openxmlformats.org/officeDocument/2006/relationships/drawing" Target="../drawings/drawing12.xml"/><Relationship Id="rId6" Type="http://schemas.openxmlformats.org/officeDocument/2006/relationships/ctrlProp" Target="../ctrlProps/ctrlProp72.xml"/><Relationship Id="rId5" Type="http://schemas.openxmlformats.org/officeDocument/2006/relationships/ctrlProp" Target="../ctrlProps/ctrlProp71.xml"/><Relationship Id="rId4" Type="http://schemas.openxmlformats.org/officeDocument/2006/relationships/ctrlProp" Target="../ctrlProps/ctrlProp70.xml"/></Relationships>
</file>

<file path=xl/worksheets/_rels/sheet15.xml.rels><?xml version="1.0" encoding="UTF-8" standalone="yes"?>
<Relationships xmlns="http://schemas.openxmlformats.org/package/2006/relationships"><Relationship Id="rId3" Type="http://schemas.openxmlformats.org/officeDocument/2006/relationships/ctrlProp" Target="../ctrlProps/ctrlProp73.xml"/><Relationship Id="rId2" Type="http://schemas.openxmlformats.org/officeDocument/2006/relationships/vmlDrawing" Target="../drawings/vmlDrawing13.vml"/><Relationship Id="rId1" Type="http://schemas.openxmlformats.org/officeDocument/2006/relationships/drawing" Target="../drawings/drawing13.xml"/><Relationship Id="rId6" Type="http://schemas.openxmlformats.org/officeDocument/2006/relationships/ctrlProp" Target="../ctrlProps/ctrlProp76.xml"/><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_rels/sheet16.xml.rels><?xml version="1.0" encoding="UTF-8" standalone="yes"?>
<Relationships xmlns="http://schemas.openxmlformats.org/package/2006/relationships"><Relationship Id="rId3" Type="http://schemas.openxmlformats.org/officeDocument/2006/relationships/ctrlProp" Target="../ctrlProps/ctrlProp77.xml"/><Relationship Id="rId2" Type="http://schemas.openxmlformats.org/officeDocument/2006/relationships/vmlDrawing" Target="../drawings/vmlDrawing14.vml"/><Relationship Id="rId1" Type="http://schemas.openxmlformats.org/officeDocument/2006/relationships/drawing" Target="../drawings/drawing14.xml"/><Relationship Id="rId6" Type="http://schemas.openxmlformats.org/officeDocument/2006/relationships/ctrlProp" Target="../ctrlProps/ctrlProp80.xml"/><Relationship Id="rId5" Type="http://schemas.openxmlformats.org/officeDocument/2006/relationships/ctrlProp" Target="../ctrlProps/ctrlProp79.xml"/><Relationship Id="rId4" Type="http://schemas.openxmlformats.org/officeDocument/2006/relationships/ctrlProp" Target="../ctrlProps/ctrlProp78.xml"/></Relationships>
</file>

<file path=xl/worksheets/_rels/sheet17.xml.rels><?xml version="1.0" encoding="UTF-8" standalone="yes"?>
<Relationships xmlns="http://schemas.openxmlformats.org/package/2006/relationships"><Relationship Id="rId3" Type="http://schemas.openxmlformats.org/officeDocument/2006/relationships/ctrlProp" Target="../ctrlProps/ctrlProp81.xml"/><Relationship Id="rId2" Type="http://schemas.openxmlformats.org/officeDocument/2006/relationships/vmlDrawing" Target="../drawings/vmlDrawing15.vml"/><Relationship Id="rId1" Type="http://schemas.openxmlformats.org/officeDocument/2006/relationships/drawing" Target="../drawings/drawing15.xml"/><Relationship Id="rId6" Type="http://schemas.openxmlformats.org/officeDocument/2006/relationships/ctrlProp" Target="../ctrlProps/ctrlProp84.xml"/><Relationship Id="rId5" Type="http://schemas.openxmlformats.org/officeDocument/2006/relationships/ctrlProp" Target="../ctrlProps/ctrlProp83.xml"/><Relationship Id="rId4" Type="http://schemas.openxmlformats.org/officeDocument/2006/relationships/ctrlProp" Target="../ctrlProps/ctrlProp82.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90.xml"/><Relationship Id="rId13" Type="http://schemas.openxmlformats.org/officeDocument/2006/relationships/ctrlProp" Target="../ctrlProps/ctrlProp95.xml"/><Relationship Id="rId3" Type="http://schemas.openxmlformats.org/officeDocument/2006/relationships/ctrlProp" Target="../ctrlProps/ctrlProp85.xml"/><Relationship Id="rId7" Type="http://schemas.openxmlformats.org/officeDocument/2006/relationships/ctrlProp" Target="../ctrlProps/ctrlProp89.xml"/><Relationship Id="rId12" Type="http://schemas.openxmlformats.org/officeDocument/2006/relationships/ctrlProp" Target="../ctrlProps/ctrlProp94.xml"/><Relationship Id="rId2" Type="http://schemas.openxmlformats.org/officeDocument/2006/relationships/vmlDrawing" Target="../drawings/vmlDrawing16.vml"/><Relationship Id="rId1" Type="http://schemas.openxmlformats.org/officeDocument/2006/relationships/drawing" Target="../drawings/drawing16.xml"/><Relationship Id="rId6" Type="http://schemas.openxmlformats.org/officeDocument/2006/relationships/ctrlProp" Target="../ctrlProps/ctrlProp88.xml"/><Relationship Id="rId11" Type="http://schemas.openxmlformats.org/officeDocument/2006/relationships/ctrlProp" Target="../ctrlProps/ctrlProp93.xml"/><Relationship Id="rId5" Type="http://schemas.openxmlformats.org/officeDocument/2006/relationships/ctrlProp" Target="../ctrlProps/ctrlProp87.xml"/><Relationship Id="rId10" Type="http://schemas.openxmlformats.org/officeDocument/2006/relationships/ctrlProp" Target="../ctrlProps/ctrlProp92.xml"/><Relationship Id="rId4" Type="http://schemas.openxmlformats.org/officeDocument/2006/relationships/ctrlProp" Target="../ctrlProps/ctrlProp86.xml"/><Relationship Id="rId9" Type="http://schemas.openxmlformats.org/officeDocument/2006/relationships/ctrlProp" Target="../ctrlProps/ctrlProp9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7.xml"/><Relationship Id="rId1" Type="http://schemas.openxmlformats.org/officeDocument/2006/relationships/printerSettings" Target="../printerSettings/printerSettings6.bin"/><Relationship Id="rId6" Type="http://schemas.openxmlformats.org/officeDocument/2006/relationships/ctrlProp" Target="../ctrlProps/ctrlProp98.xml"/><Relationship Id="rId5" Type="http://schemas.openxmlformats.org/officeDocument/2006/relationships/ctrlProp" Target="../ctrlProps/ctrlProp97.xml"/><Relationship Id="rId4" Type="http://schemas.openxmlformats.org/officeDocument/2006/relationships/ctrlProp" Target="../ctrlProps/ctrlProp9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0.xml.rels><?xml version="1.0" encoding="UTF-8" standalone="yes"?>
<Relationships xmlns="http://schemas.openxmlformats.org/package/2006/relationships"><Relationship Id="rId3" Type="http://schemas.openxmlformats.org/officeDocument/2006/relationships/ctrlProp" Target="../ctrlProps/ctrlProp99.xml"/><Relationship Id="rId2" Type="http://schemas.openxmlformats.org/officeDocument/2006/relationships/vmlDrawing" Target="../drawings/vmlDrawing18.vml"/><Relationship Id="rId1" Type="http://schemas.openxmlformats.org/officeDocument/2006/relationships/drawing" Target="../drawings/drawing18.xml"/><Relationship Id="rId5" Type="http://schemas.openxmlformats.org/officeDocument/2006/relationships/ctrlProp" Target="../ctrlProps/ctrlProp101.xml"/><Relationship Id="rId4" Type="http://schemas.openxmlformats.org/officeDocument/2006/relationships/ctrlProp" Target="../ctrlProps/ctrlProp100.xml"/></Relationships>
</file>

<file path=xl/worksheets/_rels/sheet21.xml.rels><?xml version="1.0" encoding="UTF-8" standalone="yes"?>
<Relationships xmlns="http://schemas.openxmlformats.org/package/2006/relationships"><Relationship Id="rId3" Type="http://schemas.openxmlformats.org/officeDocument/2006/relationships/ctrlProp" Target="../ctrlProps/ctrlProp102.xml"/><Relationship Id="rId2" Type="http://schemas.openxmlformats.org/officeDocument/2006/relationships/vmlDrawing" Target="../drawings/vmlDrawing19.vml"/><Relationship Id="rId1" Type="http://schemas.openxmlformats.org/officeDocument/2006/relationships/drawing" Target="../drawings/drawing19.xml"/><Relationship Id="rId6" Type="http://schemas.openxmlformats.org/officeDocument/2006/relationships/ctrlProp" Target="../ctrlProps/ctrlProp105.xml"/><Relationship Id="rId5" Type="http://schemas.openxmlformats.org/officeDocument/2006/relationships/ctrlProp" Target="../ctrlProps/ctrlProp104.xml"/><Relationship Id="rId4" Type="http://schemas.openxmlformats.org/officeDocument/2006/relationships/ctrlProp" Target="../ctrlProps/ctrlProp103.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111.xml"/><Relationship Id="rId3" Type="http://schemas.openxmlformats.org/officeDocument/2006/relationships/ctrlProp" Target="../ctrlProps/ctrlProp106.xml"/><Relationship Id="rId7" Type="http://schemas.openxmlformats.org/officeDocument/2006/relationships/ctrlProp" Target="../ctrlProps/ctrlProp110.xml"/><Relationship Id="rId2" Type="http://schemas.openxmlformats.org/officeDocument/2006/relationships/vmlDrawing" Target="../drawings/vmlDrawing20.vml"/><Relationship Id="rId1" Type="http://schemas.openxmlformats.org/officeDocument/2006/relationships/drawing" Target="../drawings/drawing20.xml"/><Relationship Id="rId6" Type="http://schemas.openxmlformats.org/officeDocument/2006/relationships/ctrlProp" Target="../ctrlProps/ctrlProp109.xml"/><Relationship Id="rId5" Type="http://schemas.openxmlformats.org/officeDocument/2006/relationships/ctrlProp" Target="../ctrlProps/ctrlProp108.xml"/><Relationship Id="rId4" Type="http://schemas.openxmlformats.org/officeDocument/2006/relationships/ctrlProp" Target="../ctrlProps/ctrlProp107.xml"/><Relationship Id="rId9" Type="http://schemas.openxmlformats.org/officeDocument/2006/relationships/ctrlProp" Target="../ctrlProps/ctrlProp112.xml"/></Relationships>
</file>

<file path=xl/worksheets/_rels/sheet23.xml.rels><?xml version="1.0" encoding="UTF-8" standalone="yes"?>
<Relationships xmlns="http://schemas.openxmlformats.org/package/2006/relationships"><Relationship Id="rId3" Type="http://schemas.openxmlformats.org/officeDocument/2006/relationships/ctrlProp" Target="../ctrlProps/ctrlProp113.xml"/><Relationship Id="rId2" Type="http://schemas.openxmlformats.org/officeDocument/2006/relationships/vmlDrawing" Target="../drawings/vmlDrawing21.vml"/><Relationship Id="rId1" Type="http://schemas.openxmlformats.org/officeDocument/2006/relationships/drawing" Target="../drawings/drawing21.xml"/><Relationship Id="rId6" Type="http://schemas.openxmlformats.org/officeDocument/2006/relationships/ctrlProp" Target="../ctrlProps/ctrlProp116.xml"/><Relationship Id="rId5" Type="http://schemas.openxmlformats.org/officeDocument/2006/relationships/ctrlProp" Target="../ctrlProps/ctrlProp115.xml"/><Relationship Id="rId4" Type="http://schemas.openxmlformats.org/officeDocument/2006/relationships/ctrlProp" Target="../ctrlProps/ctrlProp114.xml"/></Relationships>
</file>

<file path=xl/worksheets/_rels/sheet26.xml.rels><?xml version="1.0" encoding="UTF-8" standalone="yes"?>
<Relationships xmlns="http://schemas.openxmlformats.org/package/2006/relationships"><Relationship Id="rId3" Type="http://schemas.openxmlformats.org/officeDocument/2006/relationships/ctrlProp" Target="../ctrlProps/ctrlProp117.xml"/><Relationship Id="rId2" Type="http://schemas.openxmlformats.org/officeDocument/2006/relationships/vmlDrawing" Target="../drawings/vmlDrawing22.vml"/><Relationship Id="rId1" Type="http://schemas.openxmlformats.org/officeDocument/2006/relationships/drawing" Target="../drawings/drawing22.xml"/><Relationship Id="rId6" Type="http://schemas.openxmlformats.org/officeDocument/2006/relationships/ctrlProp" Target="../ctrlProps/ctrlProp120.xml"/><Relationship Id="rId5" Type="http://schemas.openxmlformats.org/officeDocument/2006/relationships/ctrlProp" Target="../ctrlProps/ctrlProp119.xml"/><Relationship Id="rId4" Type="http://schemas.openxmlformats.org/officeDocument/2006/relationships/ctrlProp" Target="../ctrlProps/ctrlProp118.xml"/></Relationships>
</file>

<file path=xl/worksheets/_rels/sheet27.xml.rels><?xml version="1.0" encoding="UTF-8" standalone="yes"?>
<Relationships xmlns="http://schemas.openxmlformats.org/package/2006/relationships"><Relationship Id="rId3" Type="http://schemas.openxmlformats.org/officeDocument/2006/relationships/ctrlProp" Target="../ctrlProps/ctrlProp121.xml"/><Relationship Id="rId2" Type="http://schemas.openxmlformats.org/officeDocument/2006/relationships/vmlDrawing" Target="../drawings/vmlDrawing23.vml"/><Relationship Id="rId1" Type="http://schemas.openxmlformats.org/officeDocument/2006/relationships/drawing" Target="../drawings/drawing23.xml"/><Relationship Id="rId6" Type="http://schemas.openxmlformats.org/officeDocument/2006/relationships/ctrlProp" Target="../ctrlProps/ctrlProp124.xml"/><Relationship Id="rId5" Type="http://schemas.openxmlformats.org/officeDocument/2006/relationships/ctrlProp" Target="../ctrlProps/ctrlProp123.xml"/><Relationship Id="rId4" Type="http://schemas.openxmlformats.org/officeDocument/2006/relationships/ctrlProp" Target="../ctrlProps/ctrlProp122.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4.vml"/><Relationship Id="rId7" Type="http://schemas.openxmlformats.org/officeDocument/2006/relationships/ctrlProp" Target="../ctrlProps/ctrlProp128.xml"/><Relationship Id="rId2" Type="http://schemas.openxmlformats.org/officeDocument/2006/relationships/drawing" Target="../drawings/drawing24.xml"/><Relationship Id="rId1" Type="http://schemas.openxmlformats.org/officeDocument/2006/relationships/printerSettings" Target="../printerSettings/printerSettings7.bin"/><Relationship Id="rId6" Type="http://schemas.openxmlformats.org/officeDocument/2006/relationships/ctrlProp" Target="../ctrlProps/ctrlProp127.xml"/><Relationship Id="rId5" Type="http://schemas.openxmlformats.org/officeDocument/2006/relationships/ctrlProp" Target="../ctrlProps/ctrlProp126.xml"/><Relationship Id="rId4" Type="http://schemas.openxmlformats.org/officeDocument/2006/relationships/ctrlProp" Target="../ctrlProps/ctrlProp125.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134.xml"/><Relationship Id="rId3" Type="http://schemas.openxmlformats.org/officeDocument/2006/relationships/ctrlProp" Target="../ctrlProps/ctrlProp129.xml"/><Relationship Id="rId7" Type="http://schemas.openxmlformats.org/officeDocument/2006/relationships/ctrlProp" Target="../ctrlProps/ctrlProp133.xml"/><Relationship Id="rId2" Type="http://schemas.openxmlformats.org/officeDocument/2006/relationships/vmlDrawing" Target="../drawings/vmlDrawing25.vml"/><Relationship Id="rId1" Type="http://schemas.openxmlformats.org/officeDocument/2006/relationships/drawing" Target="../drawings/drawing25.xml"/><Relationship Id="rId6" Type="http://schemas.openxmlformats.org/officeDocument/2006/relationships/ctrlProp" Target="../ctrlProps/ctrlProp132.xml"/><Relationship Id="rId5" Type="http://schemas.openxmlformats.org/officeDocument/2006/relationships/ctrlProp" Target="../ctrlProps/ctrlProp131.xml"/><Relationship Id="rId10" Type="http://schemas.openxmlformats.org/officeDocument/2006/relationships/ctrlProp" Target="../ctrlProps/ctrlProp136.xml"/><Relationship Id="rId4" Type="http://schemas.openxmlformats.org/officeDocument/2006/relationships/ctrlProp" Target="../ctrlProps/ctrlProp130.xml"/><Relationship Id="rId9" Type="http://schemas.openxmlformats.org/officeDocument/2006/relationships/ctrlProp" Target="../ctrlProps/ctrlProp135.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30.xml.rels><?xml version="1.0" encoding="UTF-8" standalone="yes"?>
<Relationships xmlns="http://schemas.openxmlformats.org/package/2006/relationships"><Relationship Id="rId8" Type="http://schemas.openxmlformats.org/officeDocument/2006/relationships/ctrlProp" Target="../ctrlProps/ctrlProp142.xml"/><Relationship Id="rId3" Type="http://schemas.openxmlformats.org/officeDocument/2006/relationships/ctrlProp" Target="../ctrlProps/ctrlProp137.xml"/><Relationship Id="rId7" Type="http://schemas.openxmlformats.org/officeDocument/2006/relationships/ctrlProp" Target="../ctrlProps/ctrlProp141.xml"/><Relationship Id="rId2" Type="http://schemas.openxmlformats.org/officeDocument/2006/relationships/vmlDrawing" Target="../drawings/vmlDrawing26.vml"/><Relationship Id="rId1" Type="http://schemas.openxmlformats.org/officeDocument/2006/relationships/drawing" Target="../drawings/drawing26.xml"/><Relationship Id="rId6" Type="http://schemas.openxmlformats.org/officeDocument/2006/relationships/ctrlProp" Target="../ctrlProps/ctrlProp140.xml"/><Relationship Id="rId5" Type="http://schemas.openxmlformats.org/officeDocument/2006/relationships/ctrlProp" Target="../ctrlProps/ctrlProp139.xml"/><Relationship Id="rId10" Type="http://schemas.openxmlformats.org/officeDocument/2006/relationships/ctrlProp" Target="../ctrlProps/ctrlProp144.xml"/><Relationship Id="rId4" Type="http://schemas.openxmlformats.org/officeDocument/2006/relationships/ctrlProp" Target="../ctrlProps/ctrlProp138.xml"/><Relationship Id="rId9" Type="http://schemas.openxmlformats.org/officeDocument/2006/relationships/ctrlProp" Target="../ctrlProps/ctrlProp143.xml"/></Relationships>
</file>

<file path=xl/worksheets/_rels/sheet31.xml.rels><?xml version="1.0" encoding="UTF-8" standalone="yes"?>
<Relationships xmlns="http://schemas.openxmlformats.org/package/2006/relationships"><Relationship Id="rId8" Type="http://schemas.openxmlformats.org/officeDocument/2006/relationships/ctrlProp" Target="../ctrlProps/ctrlProp150.xml"/><Relationship Id="rId13" Type="http://schemas.openxmlformats.org/officeDocument/2006/relationships/ctrlProp" Target="../ctrlProps/ctrlProp155.xml"/><Relationship Id="rId18" Type="http://schemas.openxmlformats.org/officeDocument/2006/relationships/ctrlProp" Target="../ctrlProps/ctrlProp160.xml"/><Relationship Id="rId3" Type="http://schemas.openxmlformats.org/officeDocument/2006/relationships/ctrlProp" Target="../ctrlProps/ctrlProp145.xml"/><Relationship Id="rId7" Type="http://schemas.openxmlformats.org/officeDocument/2006/relationships/ctrlProp" Target="../ctrlProps/ctrlProp149.xml"/><Relationship Id="rId12" Type="http://schemas.openxmlformats.org/officeDocument/2006/relationships/ctrlProp" Target="../ctrlProps/ctrlProp154.xml"/><Relationship Id="rId17" Type="http://schemas.openxmlformats.org/officeDocument/2006/relationships/ctrlProp" Target="../ctrlProps/ctrlProp159.xml"/><Relationship Id="rId2" Type="http://schemas.openxmlformats.org/officeDocument/2006/relationships/vmlDrawing" Target="../drawings/vmlDrawing27.vml"/><Relationship Id="rId16" Type="http://schemas.openxmlformats.org/officeDocument/2006/relationships/ctrlProp" Target="../ctrlProps/ctrlProp158.xml"/><Relationship Id="rId1" Type="http://schemas.openxmlformats.org/officeDocument/2006/relationships/drawing" Target="../drawings/drawing27.xml"/><Relationship Id="rId6" Type="http://schemas.openxmlformats.org/officeDocument/2006/relationships/ctrlProp" Target="../ctrlProps/ctrlProp148.xml"/><Relationship Id="rId11" Type="http://schemas.openxmlformats.org/officeDocument/2006/relationships/ctrlProp" Target="../ctrlProps/ctrlProp153.xml"/><Relationship Id="rId5" Type="http://schemas.openxmlformats.org/officeDocument/2006/relationships/ctrlProp" Target="../ctrlProps/ctrlProp147.xml"/><Relationship Id="rId15" Type="http://schemas.openxmlformats.org/officeDocument/2006/relationships/ctrlProp" Target="../ctrlProps/ctrlProp157.xml"/><Relationship Id="rId10" Type="http://schemas.openxmlformats.org/officeDocument/2006/relationships/ctrlProp" Target="../ctrlProps/ctrlProp152.xml"/><Relationship Id="rId4" Type="http://schemas.openxmlformats.org/officeDocument/2006/relationships/ctrlProp" Target="../ctrlProps/ctrlProp146.xml"/><Relationship Id="rId9" Type="http://schemas.openxmlformats.org/officeDocument/2006/relationships/ctrlProp" Target="../ctrlProps/ctrlProp151.xml"/><Relationship Id="rId14" Type="http://schemas.openxmlformats.org/officeDocument/2006/relationships/ctrlProp" Target="../ctrlProps/ctrlProp156.xml"/></Relationships>
</file>

<file path=xl/worksheets/_rels/sheet32.xml.rels><?xml version="1.0" encoding="UTF-8" standalone="yes"?>
<Relationships xmlns="http://schemas.openxmlformats.org/package/2006/relationships"><Relationship Id="rId8" Type="http://schemas.openxmlformats.org/officeDocument/2006/relationships/ctrlProp" Target="../ctrlProps/ctrlProp166.xml"/><Relationship Id="rId13" Type="http://schemas.openxmlformats.org/officeDocument/2006/relationships/ctrlProp" Target="../ctrlProps/ctrlProp171.xml"/><Relationship Id="rId18" Type="http://schemas.openxmlformats.org/officeDocument/2006/relationships/ctrlProp" Target="../ctrlProps/ctrlProp176.xml"/><Relationship Id="rId26" Type="http://schemas.openxmlformats.org/officeDocument/2006/relationships/ctrlProp" Target="../ctrlProps/ctrlProp184.xml"/><Relationship Id="rId3" Type="http://schemas.openxmlformats.org/officeDocument/2006/relationships/ctrlProp" Target="../ctrlProps/ctrlProp161.xml"/><Relationship Id="rId21" Type="http://schemas.openxmlformats.org/officeDocument/2006/relationships/ctrlProp" Target="../ctrlProps/ctrlProp179.xml"/><Relationship Id="rId7" Type="http://schemas.openxmlformats.org/officeDocument/2006/relationships/ctrlProp" Target="../ctrlProps/ctrlProp165.xml"/><Relationship Id="rId12" Type="http://schemas.openxmlformats.org/officeDocument/2006/relationships/ctrlProp" Target="../ctrlProps/ctrlProp170.xml"/><Relationship Id="rId17" Type="http://schemas.openxmlformats.org/officeDocument/2006/relationships/ctrlProp" Target="../ctrlProps/ctrlProp175.xml"/><Relationship Id="rId25" Type="http://schemas.openxmlformats.org/officeDocument/2006/relationships/ctrlProp" Target="../ctrlProps/ctrlProp183.xml"/><Relationship Id="rId2" Type="http://schemas.openxmlformats.org/officeDocument/2006/relationships/vmlDrawing" Target="../drawings/vmlDrawing28.vml"/><Relationship Id="rId16" Type="http://schemas.openxmlformats.org/officeDocument/2006/relationships/ctrlProp" Target="../ctrlProps/ctrlProp174.xml"/><Relationship Id="rId20" Type="http://schemas.openxmlformats.org/officeDocument/2006/relationships/ctrlProp" Target="../ctrlProps/ctrlProp178.xml"/><Relationship Id="rId1" Type="http://schemas.openxmlformats.org/officeDocument/2006/relationships/drawing" Target="../drawings/drawing28.xml"/><Relationship Id="rId6" Type="http://schemas.openxmlformats.org/officeDocument/2006/relationships/ctrlProp" Target="../ctrlProps/ctrlProp164.xml"/><Relationship Id="rId11" Type="http://schemas.openxmlformats.org/officeDocument/2006/relationships/ctrlProp" Target="../ctrlProps/ctrlProp169.xml"/><Relationship Id="rId24" Type="http://schemas.openxmlformats.org/officeDocument/2006/relationships/ctrlProp" Target="../ctrlProps/ctrlProp182.xml"/><Relationship Id="rId5" Type="http://schemas.openxmlformats.org/officeDocument/2006/relationships/ctrlProp" Target="../ctrlProps/ctrlProp163.xml"/><Relationship Id="rId15" Type="http://schemas.openxmlformats.org/officeDocument/2006/relationships/ctrlProp" Target="../ctrlProps/ctrlProp173.xml"/><Relationship Id="rId23" Type="http://schemas.openxmlformats.org/officeDocument/2006/relationships/ctrlProp" Target="../ctrlProps/ctrlProp181.xml"/><Relationship Id="rId10" Type="http://schemas.openxmlformats.org/officeDocument/2006/relationships/ctrlProp" Target="../ctrlProps/ctrlProp168.xml"/><Relationship Id="rId19" Type="http://schemas.openxmlformats.org/officeDocument/2006/relationships/ctrlProp" Target="../ctrlProps/ctrlProp177.xml"/><Relationship Id="rId4" Type="http://schemas.openxmlformats.org/officeDocument/2006/relationships/ctrlProp" Target="../ctrlProps/ctrlProp162.xml"/><Relationship Id="rId9" Type="http://schemas.openxmlformats.org/officeDocument/2006/relationships/ctrlProp" Target="../ctrlProps/ctrlProp167.xml"/><Relationship Id="rId14" Type="http://schemas.openxmlformats.org/officeDocument/2006/relationships/ctrlProp" Target="../ctrlProps/ctrlProp172.xml"/><Relationship Id="rId22" Type="http://schemas.openxmlformats.org/officeDocument/2006/relationships/ctrlProp" Target="../ctrlProps/ctrlProp180.xml"/></Relationships>
</file>

<file path=xl/worksheets/_rels/sheet33.xml.rels><?xml version="1.0" encoding="UTF-8" standalone="yes"?>
<Relationships xmlns="http://schemas.openxmlformats.org/package/2006/relationships"><Relationship Id="rId3" Type="http://schemas.openxmlformats.org/officeDocument/2006/relationships/ctrlProp" Target="../ctrlProps/ctrlProp185.xml"/><Relationship Id="rId2" Type="http://schemas.openxmlformats.org/officeDocument/2006/relationships/vmlDrawing" Target="../drawings/vmlDrawing29.vml"/><Relationship Id="rId1" Type="http://schemas.openxmlformats.org/officeDocument/2006/relationships/drawing" Target="../drawings/drawing29.xml"/><Relationship Id="rId6" Type="http://schemas.openxmlformats.org/officeDocument/2006/relationships/ctrlProp" Target="../ctrlProps/ctrlProp188.xml"/><Relationship Id="rId5" Type="http://schemas.openxmlformats.org/officeDocument/2006/relationships/ctrlProp" Target="../ctrlProps/ctrlProp187.xml"/><Relationship Id="rId4" Type="http://schemas.openxmlformats.org/officeDocument/2006/relationships/ctrlProp" Target="../ctrlProps/ctrlProp186.xml"/></Relationships>
</file>

<file path=xl/worksheets/_rels/sheet34.xml.rels><?xml version="1.0" encoding="UTF-8" standalone="yes"?>
<Relationships xmlns="http://schemas.openxmlformats.org/package/2006/relationships"><Relationship Id="rId3" Type="http://schemas.openxmlformats.org/officeDocument/2006/relationships/ctrlProp" Target="../ctrlProps/ctrlProp189.xml"/><Relationship Id="rId2" Type="http://schemas.openxmlformats.org/officeDocument/2006/relationships/vmlDrawing" Target="../drawings/vmlDrawing30.vml"/><Relationship Id="rId1" Type="http://schemas.openxmlformats.org/officeDocument/2006/relationships/drawing" Target="../drawings/drawing30.xml"/><Relationship Id="rId6" Type="http://schemas.openxmlformats.org/officeDocument/2006/relationships/ctrlProp" Target="../ctrlProps/ctrlProp192.xml"/><Relationship Id="rId5" Type="http://schemas.openxmlformats.org/officeDocument/2006/relationships/ctrlProp" Target="../ctrlProps/ctrlProp191.xml"/><Relationship Id="rId4" Type="http://schemas.openxmlformats.org/officeDocument/2006/relationships/ctrlProp" Target="../ctrlProps/ctrlProp190.xml"/></Relationships>
</file>

<file path=xl/worksheets/_rels/sheet35.xml.rels><?xml version="1.0" encoding="UTF-8" standalone="yes"?>
<Relationships xmlns="http://schemas.openxmlformats.org/package/2006/relationships"><Relationship Id="rId8" Type="http://schemas.openxmlformats.org/officeDocument/2006/relationships/ctrlProp" Target="../ctrlProps/ctrlProp198.xml"/><Relationship Id="rId3" Type="http://schemas.openxmlformats.org/officeDocument/2006/relationships/ctrlProp" Target="../ctrlProps/ctrlProp193.xml"/><Relationship Id="rId7" Type="http://schemas.openxmlformats.org/officeDocument/2006/relationships/ctrlProp" Target="../ctrlProps/ctrlProp197.xml"/><Relationship Id="rId2" Type="http://schemas.openxmlformats.org/officeDocument/2006/relationships/vmlDrawing" Target="../drawings/vmlDrawing31.vml"/><Relationship Id="rId1" Type="http://schemas.openxmlformats.org/officeDocument/2006/relationships/drawing" Target="../drawings/drawing31.xml"/><Relationship Id="rId6" Type="http://schemas.openxmlformats.org/officeDocument/2006/relationships/ctrlProp" Target="../ctrlProps/ctrlProp196.xml"/><Relationship Id="rId5" Type="http://schemas.openxmlformats.org/officeDocument/2006/relationships/ctrlProp" Target="../ctrlProps/ctrlProp195.xml"/><Relationship Id="rId10" Type="http://schemas.openxmlformats.org/officeDocument/2006/relationships/ctrlProp" Target="../ctrlProps/ctrlProp200.xml"/><Relationship Id="rId4" Type="http://schemas.openxmlformats.org/officeDocument/2006/relationships/ctrlProp" Target="../ctrlProps/ctrlProp194.xml"/><Relationship Id="rId9" Type="http://schemas.openxmlformats.org/officeDocument/2006/relationships/ctrlProp" Target="../ctrlProps/ctrlProp199.xml"/></Relationships>
</file>

<file path=xl/worksheets/_rels/sheet36.xml.rels><?xml version="1.0" encoding="UTF-8" standalone="yes"?>
<Relationships xmlns="http://schemas.openxmlformats.org/package/2006/relationships"><Relationship Id="rId3" Type="http://schemas.openxmlformats.org/officeDocument/2006/relationships/ctrlProp" Target="../ctrlProps/ctrlProp201.xml"/><Relationship Id="rId2" Type="http://schemas.openxmlformats.org/officeDocument/2006/relationships/vmlDrawing" Target="../drawings/vmlDrawing32.vml"/><Relationship Id="rId1" Type="http://schemas.openxmlformats.org/officeDocument/2006/relationships/drawing" Target="../drawings/drawing32.xml"/><Relationship Id="rId6" Type="http://schemas.openxmlformats.org/officeDocument/2006/relationships/ctrlProp" Target="../ctrlProps/ctrlProp204.xml"/><Relationship Id="rId5" Type="http://schemas.openxmlformats.org/officeDocument/2006/relationships/ctrlProp" Target="../ctrlProps/ctrlProp203.xml"/><Relationship Id="rId4" Type="http://schemas.openxmlformats.org/officeDocument/2006/relationships/ctrlProp" Target="../ctrlProps/ctrlProp202.xml"/></Relationships>
</file>

<file path=xl/worksheets/_rels/sheet37.xml.rels><?xml version="1.0" encoding="UTF-8" standalone="yes"?>
<Relationships xmlns="http://schemas.openxmlformats.org/package/2006/relationships"><Relationship Id="rId8" Type="http://schemas.openxmlformats.org/officeDocument/2006/relationships/ctrlProp" Target="../ctrlProps/ctrlProp210.xml"/><Relationship Id="rId13" Type="http://schemas.openxmlformats.org/officeDocument/2006/relationships/ctrlProp" Target="../ctrlProps/ctrlProp215.xml"/><Relationship Id="rId3" Type="http://schemas.openxmlformats.org/officeDocument/2006/relationships/ctrlProp" Target="../ctrlProps/ctrlProp205.xml"/><Relationship Id="rId7" Type="http://schemas.openxmlformats.org/officeDocument/2006/relationships/ctrlProp" Target="../ctrlProps/ctrlProp209.xml"/><Relationship Id="rId12" Type="http://schemas.openxmlformats.org/officeDocument/2006/relationships/ctrlProp" Target="../ctrlProps/ctrlProp214.xml"/><Relationship Id="rId2" Type="http://schemas.openxmlformats.org/officeDocument/2006/relationships/vmlDrawing" Target="../drawings/vmlDrawing33.vml"/><Relationship Id="rId1" Type="http://schemas.openxmlformats.org/officeDocument/2006/relationships/drawing" Target="../drawings/drawing33.xml"/><Relationship Id="rId6" Type="http://schemas.openxmlformats.org/officeDocument/2006/relationships/ctrlProp" Target="../ctrlProps/ctrlProp208.xml"/><Relationship Id="rId11" Type="http://schemas.openxmlformats.org/officeDocument/2006/relationships/ctrlProp" Target="../ctrlProps/ctrlProp213.xml"/><Relationship Id="rId5" Type="http://schemas.openxmlformats.org/officeDocument/2006/relationships/ctrlProp" Target="../ctrlProps/ctrlProp207.xml"/><Relationship Id="rId10" Type="http://schemas.openxmlformats.org/officeDocument/2006/relationships/ctrlProp" Target="../ctrlProps/ctrlProp212.xml"/><Relationship Id="rId4" Type="http://schemas.openxmlformats.org/officeDocument/2006/relationships/ctrlProp" Target="../ctrlProps/ctrlProp206.xml"/><Relationship Id="rId9" Type="http://schemas.openxmlformats.org/officeDocument/2006/relationships/ctrlProp" Target="../ctrlProps/ctrlProp211.xml"/><Relationship Id="rId14" Type="http://schemas.openxmlformats.org/officeDocument/2006/relationships/ctrlProp" Target="../ctrlProps/ctrlProp216.xml"/></Relationships>
</file>

<file path=xl/worksheets/_rels/sheet38.xml.rels><?xml version="1.0" encoding="UTF-8" standalone="yes"?>
<Relationships xmlns="http://schemas.openxmlformats.org/package/2006/relationships"><Relationship Id="rId3" Type="http://schemas.openxmlformats.org/officeDocument/2006/relationships/ctrlProp" Target="../ctrlProps/ctrlProp217.xml"/><Relationship Id="rId2" Type="http://schemas.openxmlformats.org/officeDocument/2006/relationships/vmlDrawing" Target="../drawings/vmlDrawing34.vml"/><Relationship Id="rId1" Type="http://schemas.openxmlformats.org/officeDocument/2006/relationships/drawing" Target="../drawings/drawing34.xml"/><Relationship Id="rId6" Type="http://schemas.openxmlformats.org/officeDocument/2006/relationships/ctrlProp" Target="../ctrlProps/ctrlProp220.xml"/><Relationship Id="rId5" Type="http://schemas.openxmlformats.org/officeDocument/2006/relationships/ctrlProp" Target="../ctrlProps/ctrlProp219.xml"/><Relationship Id="rId4" Type="http://schemas.openxmlformats.org/officeDocument/2006/relationships/ctrlProp" Target="../ctrlProps/ctrlProp218.xml"/></Relationships>
</file>

<file path=xl/worksheets/_rels/sheet39.xml.rels><?xml version="1.0" encoding="UTF-8" standalone="yes"?>
<Relationships xmlns="http://schemas.openxmlformats.org/package/2006/relationships"><Relationship Id="rId3" Type="http://schemas.openxmlformats.org/officeDocument/2006/relationships/ctrlProp" Target="../ctrlProps/ctrlProp221.xml"/><Relationship Id="rId2" Type="http://schemas.openxmlformats.org/officeDocument/2006/relationships/vmlDrawing" Target="../drawings/vmlDrawing35.vml"/><Relationship Id="rId1" Type="http://schemas.openxmlformats.org/officeDocument/2006/relationships/drawing" Target="../drawings/drawing35.xml"/><Relationship Id="rId6" Type="http://schemas.openxmlformats.org/officeDocument/2006/relationships/ctrlProp" Target="../ctrlProps/ctrlProp224.xml"/><Relationship Id="rId5" Type="http://schemas.openxmlformats.org/officeDocument/2006/relationships/ctrlProp" Target="../ctrlProps/ctrlProp223.xml"/><Relationship Id="rId4" Type="http://schemas.openxmlformats.org/officeDocument/2006/relationships/ctrlProp" Target="../ctrlProps/ctrlProp222.xml"/></Relationships>
</file>

<file path=xl/worksheets/_rels/sheet4.xml.rels><?xml version="1.0" encoding="UTF-8" standalone="yes"?>
<Relationships xmlns="http://schemas.openxmlformats.org/package/2006/relationships"><Relationship Id="rId3" Type="http://schemas.openxmlformats.org/officeDocument/2006/relationships/ctrlProp" Target="../ctrlProps/ctrlProp17.xml"/><Relationship Id="rId2" Type="http://schemas.openxmlformats.org/officeDocument/2006/relationships/vmlDrawing" Target="../drawings/vmlDrawing3.vml"/><Relationship Id="rId1" Type="http://schemas.openxmlformats.org/officeDocument/2006/relationships/drawing" Target="../drawings/drawing3.xml"/><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40.xml.rels><?xml version="1.0" encoding="UTF-8" standalone="yes"?>
<Relationships xmlns="http://schemas.openxmlformats.org/package/2006/relationships"><Relationship Id="rId3" Type="http://schemas.openxmlformats.org/officeDocument/2006/relationships/ctrlProp" Target="../ctrlProps/ctrlProp225.xml"/><Relationship Id="rId2" Type="http://schemas.openxmlformats.org/officeDocument/2006/relationships/vmlDrawing" Target="../drawings/vmlDrawing36.vml"/><Relationship Id="rId1" Type="http://schemas.openxmlformats.org/officeDocument/2006/relationships/drawing" Target="../drawings/drawing36.xml"/><Relationship Id="rId6" Type="http://schemas.openxmlformats.org/officeDocument/2006/relationships/ctrlProp" Target="../ctrlProps/ctrlProp228.xml"/><Relationship Id="rId5" Type="http://schemas.openxmlformats.org/officeDocument/2006/relationships/ctrlProp" Target="../ctrlProps/ctrlProp227.xml"/><Relationship Id="rId4" Type="http://schemas.openxmlformats.org/officeDocument/2006/relationships/ctrlProp" Target="../ctrlProps/ctrlProp226.xml"/></Relationships>
</file>

<file path=xl/worksheets/_rels/sheet41.xml.rels><?xml version="1.0" encoding="UTF-8" standalone="yes"?>
<Relationships xmlns="http://schemas.openxmlformats.org/package/2006/relationships"><Relationship Id="rId3" Type="http://schemas.openxmlformats.org/officeDocument/2006/relationships/ctrlProp" Target="../ctrlProps/ctrlProp229.xml"/><Relationship Id="rId2" Type="http://schemas.openxmlformats.org/officeDocument/2006/relationships/vmlDrawing" Target="../drawings/vmlDrawing37.vml"/><Relationship Id="rId1" Type="http://schemas.openxmlformats.org/officeDocument/2006/relationships/drawing" Target="../drawings/drawing37.xml"/><Relationship Id="rId6" Type="http://schemas.openxmlformats.org/officeDocument/2006/relationships/ctrlProp" Target="../ctrlProps/ctrlProp232.xml"/><Relationship Id="rId5" Type="http://schemas.openxmlformats.org/officeDocument/2006/relationships/ctrlProp" Target="../ctrlProps/ctrlProp231.xml"/><Relationship Id="rId4" Type="http://schemas.openxmlformats.org/officeDocument/2006/relationships/ctrlProp" Target="../ctrlProps/ctrlProp230.xml"/></Relationships>
</file>

<file path=xl/worksheets/_rels/sheet42.xml.rels><?xml version="1.0" encoding="UTF-8" standalone="yes"?>
<Relationships xmlns="http://schemas.openxmlformats.org/package/2006/relationships"><Relationship Id="rId3" Type="http://schemas.openxmlformats.org/officeDocument/2006/relationships/ctrlProp" Target="../ctrlProps/ctrlProp233.xml"/><Relationship Id="rId2" Type="http://schemas.openxmlformats.org/officeDocument/2006/relationships/vmlDrawing" Target="../drawings/vmlDrawing38.vml"/><Relationship Id="rId1" Type="http://schemas.openxmlformats.org/officeDocument/2006/relationships/drawing" Target="../drawings/drawing38.xml"/><Relationship Id="rId6" Type="http://schemas.openxmlformats.org/officeDocument/2006/relationships/ctrlProp" Target="../ctrlProps/ctrlProp236.xml"/><Relationship Id="rId5" Type="http://schemas.openxmlformats.org/officeDocument/2006/relationships/ctrlProp" Target="../ctrlProps/ctrlProp235.xml"/><Relationship Id="rId4" Type="http://schemas.openxmlformats.org/officeDocument/2006/relationships/ctrlProp" Target="../ctrlProps/ctrlProp234.xml"/></Relationships>
</file>

<file path=xl/worksheets/_rels/sheet43.xml.rels><?xml version="1.0" encoding="UTF-8" standalone="yes"?>
<Relationships xmlns="http://schemas.openxmlformats.org/package/2006/relationships"><Relationship Id="rId3" Type="http://schemas.openxmlformats.org/officeDocument/2006/relationships/ctrlProp" Target="../ctrlProps/ctrlProp237.xml"/><Relationship Id="rId2" Type="http://schemas.openxmlformats.org/officeDocument/2006/relationships/vmlDrawing" Target="../drawings/vmlDrawing39.vml"/><Relationship Id="rId1" Type="http://schemas.openxmlformats.org/officeDocument/2006/relationships/drawing" Target="../drawings/drawing39.xml"/><Relationship Id="rId6" Type="http://schemas.openxmlformats.org/officeDocument/2006/relationships/ctrlProp" Target="../ctrlProps/ctrlProp240.xml"/><Relationship Id="rId5" Type="http://schemas.openxmlformats.org/officeDocument/2006/relationships/ctrlProp" Target="../ctrlProps/ctrlProp239.xml"/><Relationship Id="rId4" Type="http://schemas.openxmlformats.org/officeDocument/2006/relationships/ctrlProp" Target="../ctrlProps/ctrlProp238.xml"/></Relationships>
</file>

<file path=xl/worksheets/_rels/sheet44.xml.rels><?xml version="1.0" encoding="UTF-8" standalone="yes"?>
<Relationships xmlns="http://schemas.openxmlformats.org/package/2006/relationships"><Relationship Id="rId3" Type="http://schemas.openxmlformats.org/officeDocument/2006/relationships/ctrlProp" Target="../ctrlProps/ctrlProp241.xml"/><Relationship Id="rId2" Type="http://schemas.openxmlformats.org/officeDocument/2006/relationships/vmlDrawing" Target="../drawings/vmlDrawing40.vml"/><Relationship Id="rId1" Type="http://schemas.openxmlformats.org/officeDocument/2006/relationships/drawing" Target="../drawings/drawing40.xml"/><Relationship Id="rId6" Type="http://schemas.openxmlformats.org/officeDocument/2006/relationships/ctrlProp" Target="../ctrlProps/ctrlProp244.xml"/><Relationship Id="rId5" Type="http://schemas.openxmlformats.org/officeDocument/2006/relationships/ctrlProp" Target="../ctrlProps/ctrlProp243.xml"/><Relationship Id="rId4" Type="http://schemas.openxmlformats.org/officeDocument/2006/relationships/ctrlProp" Target="../ctrlProps/ctrlProp242.xml"/></Relationships>
</file>

<file path=xl/worksheets/_rels/sheet45.xml.rels><?xml version="1.0" encoding="UTF-8" standalone="yes"?>
<Relationships xmlns="http://schemas.openxmlformats.org/package/2006/relationships"><Relationship Id="rId3" Type="http://schemas.openxmlformats.org/officeDocument/2006/relationships/ctrlProp" Target="../ctrlProps/ctrlProp245.xml"/><Relationship Id="rId2" Type="http://schemas.openxmlformats.org/officeDocument/2006/relationships/vmlDrawing" Target="../drawings/vmlDrawing41.vml"/><Relationship Id="rId1" Type="http://schemas.openxmlformats.org/officeDocument/2006/relationships/drawing" Target="../drawings/drawing41.xml"/><Relationship Id="rId6" Type="http://schemas.openxmlformats.org/officeDocument/2006/relationships/ctrlProp" Target="../ctrlProps/ctrlProp248.xml"/><Relationship Id="rId5" Type="http://schemas.openxmlformats.org/officeDocument/2006/relationships/ctrlProp" Target="../ctrlProps/ctrlProp247.xml"/><Relationship Id="rId4" Type="http://schemas.openxmlformats.org/officeDocument/2006/relationships/ctrlProp" Target="../ctrlProps/ctrlProp246.xml"/></Relationships>
</file>

<file path=xl/worksheets/_rels/sheet46.xml.rels><?xml version="1.0" encoding="UTF-8" standalone="yes"?>
<Relationships xmlns="http://schemas.openxmlformats.org/package/2006/relationships"><Relationship Id="rId3" Type="http://schemas.openxmlformats.org/officeDocument/2006/relationships/ctrlProp" Target="../ctrlProps/ctrlProp249.xml"/><Relationship Id="rId2" Type="http://schemas.openxmlformats.org/officeDocument/2006/relationships/vmlDrawing" Target="../drawings/vmlDrawing42.vml"/><Relationship Id="rId1" Type="http://schemas.openxmlformats.org/officeDocument/2006/relationships/drawing" Target="../drawings/drawing42.xml"/><Relationship Id="rId6" Type="http://schemas.openxmlformats.org/officeDocument/2006/relationships/ctrlProp" Target="../ctrlProps/ctrlProp252.xml"/><Relationship Id="rId5" Type="http://schemas.openxmlformats.org/officeDocument/2006/relationships/ctrlProp" Target="../ctrlProps/ctrlProp251.xml"/><Relationship Id="rId4" Type="http://schemas.openxmlformats.org/officeDocument/2006/relationships/ctrlProp" Target="../ctrlProps/ctrlProp250.xml"/></Relationships>
</file>

<file path=xl/worksheets/_rels/sheet47.xml.rels><?xml version="1.0" encoding="UTF-8" standalone="yes"?>
<Relationships xmlns="http://schemas.openxmlformats.org/package/2006/relationships"><Relationship Id="rId3" Type="http://schemas.openxmlformats.org/officeDocument/2006/relationships/ctrlProp" Target="../ctrlProps/ctrlProp253.xml"/><Relationship Id="rId2" Type="http://schemas.openxmlformats.org/officeDocument/2006/relationships/vmlDrawing" Target="../drawings/vmlDrawing43.vml"/><Relationship Id="rId1" Type="http://schemas.openxmlformats.org/officeDocument/2006/relationships/drawing" Target="../drawings/drawing43.xml"/><Relationship Id="rId6" Type="http://schemas.openxmlformats.org/officeDocument/2006/relationships/ctrlProp" Target="../ctrlProps/ctrlProp256.xml"/><Relationship Id="rId5" Type="http://schemas.openxmlformats.org/officeDocument/2006/relationships/ctrlProp" Target="../ctrlProps/ctrlProp255.xml"/><Relationship Id="rId4" Type="http://schemas.openxmlformats.org/officeDocument/2006/relationships/ctrlProp" Target="../ctrlProps/ctrlProp254.xml"/></Relationships>
</file>

<file path=xl/worksheets/_rels/sheet48.xml.rels><?xml version="1.0" encoding="UTF-8" standalone="yes"?>
<Relationships xmlns="http://schemas.openxmlformats.org/package/2006/relationships"><Relationship Id="rId3" Type="http://schemas.openxmlformats.org/officeDocument/2006/relationships/ctrlProp" Target="../ctrlProps/ctrlProp257.xml"/><Relationship Id="rId2" Type="http://schemas.openxmlformats.org/officeDocument/2006/relationships/vmlDrawing" Target="../drawings/vmlDrawing44.vml"/><Relationship Id="rId1" Type="http://schemas.openxmlformats.org/officeDocument/2006/relationships/drawing" Target="../drawings/drawing44.xml"/><Relationship Id="rId6" Type="http://schemas.openxmlformats.org/officeDocument/2006/relationships/ctrlProp" Target="../ctrlProps/ctrlProp260.xml"/><Relationship Id="rId5" Type="http://schemas.openxmlformats.org/officeDocument/2006/relationships/ctrlProp" Target="../ctrlProps/ctrlProp259.xml"/><Relationship Id="rId4" Type="http://schemas.openxmlformats.org/officeDocument/2006/relationships/ctrlProp" Target="../ctrlProps/ctrlProp258.xml"/></Relationships>
</file>

<file path=xl/worksheets/_rels/sheet49.xml.rels><?xml version="1.0" encoding="UTF-8" standalone="yes"?>
<Relationships xmlns="http://schemas.openxmlformats.org/package/2006/relationships"><Relationship Id="rId8" Type="http://schemas.openxmlformats.org/officeDocument/2006/relationships/ctrlProp" Target="../ctrlProps/ctrlProp266.xml"/><Relationship Id="rId13" Type="http://schemas.openxmlformats.org/officeDocument/2006/relationships/ctrlProp" Target="../ctrlProps/ctrlProp271.xml"/><Relationship Id="rId18" Type="http://schemas.openxmlformats.org/officeDocument/2006/relationships/ctrlProp" Target="../ctrlProps/ctrlProp276.xml"/><Relationship Id="rId3" Type="http://schemas.openxmlformats.org/officeDocument/2006/relationships/ctrlProp" Target="../ctrlProps/ctrlProp261.xml"/><Relationship Id="rId7" Type="http://schemas.openxmlformats.org/officeDocument/2006/relationships/ctrlProp" Target="../ctrlProps/ctrlProp265.xml"/><Relationship Id="rId12" Type="http://schemas.openxmlformats.org/officeDocument/2006/relationships/ctrlProp" Target="../ctrlProps/ctrlProp270.xml"/><Relationship Id="rId17" Type="http://schemas.openxmlformats.org/officeDocument/2006/relationships/ctrlProp" Target="../ctrlProps/ctrlProp275.xml"/><Relationship Id="rId2" Type="http://schemas.openxmlformats.org/officeDocument/2006/relationships/vmlDrawing" Target="../drawings/vmlDrawing45.vml"/><Relationship Id="rId16" Type="http://schemas.openxmlformats.org/officeDocument/2006/relationships/ctrlProp" Target="../ctrlProps/ctrlProp274.xml"/><Relationship Id="rId1" Type="http://schemas.openxmlformats.org/officeDocument/2006/relationships/drawing" Target="../drawings/drawing45.xml"/><Relationship Id="rId6" Type="http://schemas.openxmlformats.org/officeDocument/2006/relationships/ctrlProp" Target="../ctrlProps/ctrlProp264.xml"/><Relationship Id="rId11" Type="http://schemas.openxmlformats.org/officeDocument/2006/relationships/ctrlProp" Target="../ctrlProps/ctrlProp269.xml"/><Relationship Id="rId5" Type="http://schemas.openxmlformats.org/officeDocument/2006/relationships/ctrlProp" Target="../ctrlProps/ctrlProp263.xml"/><Relationship Id="rId15" Type="http://schemas.openxmlformats.org/officeDocument/2006/relationships/ctrlProp" Target="../ctrlProps/ctrlProp273.xml"/><Relationship Id="rId10" Type="http://schemas.openxmlformats.org/officeDocument/2006/relationships/ctrlProp" Target="../ctrlProps/ctrlProp268.xml"/><Relationship Id="rId4" Type="http://schemas.openxmlformats.org/officeDocument/2006/relationships/ctrlProp" Target="../ctrlProps/ctrlProp262.xml"/><Relationship Id="rId9" Type="http://schemas.openxmlformats.org/officeDocument/2006/relationships/ctrlProp" Target="../ctrlProps/ctrlProp267.xml"/><Relationship Id="rId14" Type="http://schemas.openxmlformats.org/officeDocument/2006/relationships/ctrlProp" Target="../ctrlProps/ctrlProp27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3" Type="http://schemas.openxmlformats.org/officeDocument/2006/relationships/ctrlProp" Target="../ctrlProps/ctrlProp21.xml"/><Relationship Id="rId7" Type="http://schemas.openxmlformats.org/officeDocument/2006/relationships/ctrlProp" Target="../ctrlProps/ctrlProp25.xml"/><Relationship Id="rId12" Type="http://schemas.openxmlformats.org/officeDocument/2006/relationships/ctrlProp" Target="../ctrlProps/ctrlProp30.xml"/><Relationship Id="rId2" Type="http://schemas.openxmlformats.org/officeDocument/2006/relationships/vmlDrawing" Target="../drawings/vmlDrawing4.vml"/><Relationship Id="rId1" Type="http://schemas.openxmlformats.org/officeDocument/2006/relationships/drawing" Target="../drawings/drawing4.xml"/><Relationship Id="rId6" Type="http://schemas.openxmlformats.org/officeDocument/2006/relationships/ctrlProp" Target="../ctrlProps/ctrlProp24.xml"/><Relationship Id="rId11" Type="http://schemas.openxmlformats.org/officeDocument/2006/relationships/ctrlProp" Target="../ctrlProps/ctrlProp29.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s>
</file>

<file path=xl/worksheets/_rels/sheet50.xml.rels><?xml version="1.0" encoding="UTF-8" standalone="yes"?>
<Relationships xmlns="http://schemas.openxmlformats.org/package/2006/relationships"><Relationship Id="rId8" Type="http://schemas.openxmlformats.org/officeDocument/2006/relationships/ctrlProp" Target="../ctrlProps/ctrlProp282.xml"/><Relationship Id="rId3" Type="http://schemas.openxmlformats.org/officeDocument/2006/relationships/ctrlProp" Target="../ctrlProps/ctrlProp277.xml"/><Relationship Id="rId7" Type="http://schemas.openxmlformats.org/officeDocument/2006/relationships/ctrlProp" Target="../ctrlProps/ctrlProp281.xml"/><Relationship Id="rId2" Type="http://schemas.openxmlformats.org/officeDocument/2006/relationships/vmlDrawing" Target="../drawings/vmlDrawing46.vml"/><Relationship Id="rId1" Type="http://schemas.openxmlformats.org/officeDocument/2006/relationships/drawing" Target="../drawings/drawing46.xml"/><Relationship Id="rId6" Type="http://schemas.openxmlformats.org/officeDocument/2006/relationships/ctrlProp" Target="../ctrlProps/ctrlProp280.xml"/><Relationship Id="rId5" Type="http://schemas.openxmlformats.org/officeDocument/2006/relationships/ctrlProp" Target="../ctrlProps/ctrlProp279.xml"/><Relationship Id="rId10" Type="http://schemas.openxmlformats.org/officeDocument/2006/relationships/ctrlProp" Target="../ctrlProps/ctrlProp284.xml"/><Relationship Id="rId4" Type="http://schemas.openxmlformats.org/officeDocument/2006/relationships/ctrlProp" Target="../ctrlProps/ctrlProp278.xml"/><Relationship Id="rId9" Type="http://schemas.openxmlformats.org/officeDocument/2006/relationships/ctrlProp" Target="../ctrlProps/ctrlProp283.xml"/></Relationships>
</file>

<file path=xl/worksheets/_rels/sheet51.xml.rels><?xml version="1.0" encoding="UTF-8" standalone="yes"?>
<Relationships xmlns="http://schemas.openxmlformats.org/package/2006/relationships"><Relationship Id="rId3" Type="http://schemas.openxmlformats.org/officeDocument/2006/relationships/ctrlProp" Target="../ctrlProps/ctrlProp285.xml"/><Relationship Id="rId2" Type="http://schemas.openxmlformats.org/officeDocument/2006/relationships/vmlDrawing" Target="../drawings/vmlDrawing47.vml"/><Relationship Id="rId1" Type="http://schemas.openxmlformats.org/officeDocument/2006/relationships/drawing" Target="../drawings/drawing47.xml"/><Relationship Id="rId6" Type="http://schemas.openxmlformats.org/officeDocument/2006/relationships/ctrlProp" Target="../ctrlProps/ctrlProp288.xml"/><Relationship Id="rId5" Type="http://schemas.openxmlformats.org/officeDocument/2006/relationships/ctrlProp" Target="../ctrlProps/ctrlProp287.xml"/><Relationship Id="rId4" Type="http://schemas.openxmlformats.org/officeDocument/2006/relationships/ctrlProp" Target="../ctrlProps/ctrlProp286.xml"/></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3" Type="http://schemas.openxmlformats.org/officeDocument/2006/relationships/ctrlProp" Target="../ctrlProps/ctrlProp33.xml"/><Relationship Id="rId2" Type="http://schemas.openxmlformats.org/officeDocument/2006/relationships/vmlDrawing" Target="../drawings/vmlDrawing5.vml"/><Relationship Id="rId1" Type="http://schemas.openxmlformats.org/officeDocument/2006/relationships/drawing" Target="../drawings/drawing5.xml"/><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42.xml"/><Relationship Id="rId3" Type="http://schemas.openxmlformats.org/officeDocument/2006/relationships/ctrlProp" Target="../ctrlProps/ctrlProp37.xml"/><Relationship Id="rId7" Type="http://schemas.openxmlformats.org/officeDocument/2006/relationships/ctrlProp" Target="../ctrlProps/ctrlProp41.xml"/><Relationship Id="rId2" Type="http://schemas.openxmlformats.org/officeDocument/2006/relationships/vmlDrawing" Target="../drawings/vmlDrawing6.vml"/><Relationship Id="rId1" Type="http://schemas.openxmlformats.org/officeDocument/2006/relationships/drawing" Target="../drawings/drawing6.xml"/><Relationship Id="rId6" Type="http://schemas.openxmlformats.org/officeDocument/2006/relationships/ctrlProp" Target="../ctrlProps/ctrlProp40.xml"/><Relationship Id="rId5" Type="http://schemas.openxmlformats.org/officeDocument/2006/relationships/ctrlProp" Target="../ctrlProps/ctrlProp39.xml"/><Relationship Id="rId10" Type="http://schemas.openxmlformats.org/officeDocument/2006/relationships/ctrlProp" Target="../ctrlProps/ctrlProp44.xml"/><Relationship Id="rId4" Type="http://schemas.openxmlformats.org/officeDocument/2006/relationships/ctrlProp" Target="../ctrlProps/ctrlProp38.xml"/><Relationship Id="rId9" Type="http://schemas.openxmlformats.org/officeDocument/2006/relationships/ctrlProp" Target="../ctrlProps/ctrlProp43.xml"/></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45.xml"/><Relationship Id="rId2" Type="http://schemas.openxmlformats.org/officeDocument/2006/relationships/vmlDrawing" Target="../drawings/vmlDrawing7.vml"/><Relationship Id="rId1" Type="http://schemas.openxmlformats.org/officeDocument/2006/relationships/drawing" Target="../drawings/drawing7.xml"/><Relationship Id="rId6" Type="http://schemas.openxmlformats.org/officeDocument/2006/relationships/ctrlProp" Target="../ctrlProps/ctrlProp48.xml"/><Relationship Id="rId5" Type="http://schemas.openxmlformats.org/officeDocument/2006/relationships/ctrlProp" Target="../ctrlProps/ctrlProp47.xml"/><Relationship Id="rId4" Type="http://schemas.openxmlformats.org/officeDocument/2006/relationships/ctrlProp" Target="../ctrlProps/ctrlProp46.xml"/></Relationships>
</file>

<file path=xl/worksheets/_rels/sheet9.xml.rels><?xml version="1.0" encoding="UTF-8" standalone="yes"?>
<Relationships xmlns="http://schemas.openxmlformats.org/package/2006/relationships"><Relationship Id="rId3" Type="http://schemas.openxmlformats.org/officeDocument/2006/relationships/ctrlProp" Target="../ctrlProps/ctrlProp49.xml"/><Relationship Id="rId2" Type="http://schemas.openxmlformats.org/officeDocument/2006/relationships/vmlDrawing" Target="../drawings/vmlDrawing8.vml"/><Relationship Id="rId1" Type="http://schemas.openxmlformats.org/officeDocument/2006/relationships/drawing" Target="../drawings/drawing8.xml"/><Relationship Id="rId6" Type="http://schemas.openxmlformats.org/officeDocument/2006/relationships/ctrlProp" Target="../ctrlProps/ctrlProp52.xml"/><Relationship Id="rId5" Type="http://schemas.openxmlformats.org/officeDocument/2006/relationships/ctrlProp" Target="../ctrlProps/ctrlProp51.xml"/><Relationship Id="rId4"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64"/>
  <sheetViews>
    <sheetView tabSelected="1" workbookViewId="0">
      <pane ySplit="7" topLeftCell="A50" activePane="bottomLeft" state="frozen"/>
      <selection pane="bottomLeft" activeCell="A54" sqref="A54:XFD54"/>
    </sheetView>
  </sheetViews>
  <sheetFormatPr defaultColWidth="8.85546875" defaultRowHeight="15" x14ac:dyDescent="0.25"/>
  <cols>
    <col min="1" max="1" width="11" style="156" customWidth="1"/>
    <col min="2" max="2" width="9" style="156" customWidth="1"/>
    <col min="3" max="3" width="19.42578125" style="86" customWidth="1"/>
    <col min="4" max="4" width="30.28515625" style="86" customWidth="1"/>
    <col min="5" max="5" width="19.42578125" style="86" customWidth="1"/>
    <col min="6" max="6" width="15.42578125" style="86" customWidth="1"/>
    <col min="7" max="9" width="16.7109375" style="86" customWidth="1"/>
    <col min="10" max="10" width="14.5703125" style="86" customWidth="1"/>
    <col min="11" max="11" width="14.85546875" style="86" customWidth="1"/>
    <col min="12" max="12" width="14.28515625" style="86" customWidth="1"/>
    <col min="13" max="15" width="16.5703125" style="86" customWidth="1"/>
    <col min="16" max="16" width="9.5703125" style="86" customWidth="1"/>
    <col min="17" max="17" width="12.140625" style="86" customWidth="1"/>
    <col min="18" max="18" width="9.7109375" style="86" customWidth="1"/>
    <col min="19" max="19" width="20.85546875" style="86" customWidth="1"/>
    <col min="20" max="20" width="14.85546875" style="86" customWidth="1"/>
    <col min="21" max="21" width="16.28515625" style="86" customWidth="1"/>
    <col min="22" max="22" width="11.140625" style="86" customWidth="1"/>
    <col min="23" max="23" width="10.42578125" style="86" customWidth="1"/>
    <col min="24" max="24" width="12.7109375" style="86" customWidth="1"/>
    <col min="25" max="16384" width="8.85546875" style="86"/>
  </cols>
  <sheetData>
    <row r="1" spans="1:24" x14ac:dyDescent="0.25">
      <c r="A1" s="151"/>
      <c r="B1" s="151"/>
      <c r="C1" s="144"/>
      <c r="D1" s="144"/>
      <c r="E1" s="144"/>
      <c r="F1" s="144"/>
      <c r="G1" s="144"/>
      <c r="H1" s="144"/>
      <c r="I1" s="144"/>
      <c r="J1" s="144"/>
      <c r="K1" s="144"/>
      <c r="L1" s="144"/>
      <c r="M1" s="144"/>
      <c r="N1" s="144"/>
      <c r="O1" s="144"/>
      <c r="P1" s="144"/>
      <c r="Q1" s="144"/>
      <c r="R1" s="144"/>
      <c r="S1" s="144"/>
      <c r="T1" s="144"/>
    </row>
    <row r="2" spans="1:24" ht="17.25" x14ac:dyDescent="0.25">
      <c r="A2" s="152"/>
      <c r="B2" s="152"/>
      <c r="C2" s="145"/>
      <c r="D2" s="145"/>
      <c r="E2" s="145"/>
      <c r="F2" s="145"/>
      <c r="G2" s="145"/>
      <c r="H2" s="145"/>
      <c r="I2" s="145"/>
      <c r="J2" s="145"/>
      <c r="K2" s="145"/>
      <c r="L2" s="145"/>
      <c r="M2" s="145"/>
      <c r="N2" s="145"/>
      <c r="O2" s="145"/>
      <c r="P2" s="145"/>
      <c r="Q2" s="145"/>
      <c r="R2" s="145"/>
      <c r="S2" s="145"/>
      <c r="T2" s="145"/>
    </row>
    <row r="3" spans="1:24" ht="17.25" x14ac:dyDescent="0.25">
      <c r="A3" s="152"/>
      <c r="B3" s="152"/>
      <c r="C3" s="145"/>
      <c r="D3" s="145"/>
      <c r="E3" s="145"/>
      <c r="F3" s="145"/>
      <c r="G3" s="145"/>
      <c r="H3" s="145"/>
      <c r="I3" s="145"/>
      <c r="J3" s="145"/>
      <c r="K3" s="145"/>
      <c r="L3" s="145"/>
      <c r="M3" s="145"/>
      <c r="N3" s="145"/>
      <c r="O3" s="145"/>
      <c r="P3" s="145"/>
      <c r="Q3" s="145"/>
      <c r="R3" s="145"/>
      <c r="S3" s="145"/>
      <c r="T3" s="145"/>
    </row>
    <row r="4" spans="1:24" ht="17.25" x14ac:dyDescent="0.25">
      <c r="A4" s="152"/>
      <c r="B4" s="152"/>
      <c r="C4" s="145"/>
      <c r="D4" s="145"/>
      <c r="E4" s="145"/>
      <c r="F4" s="145"/>
      <c r="G4" s="145"/>
      <c r="H4" s="145"/>
      <c r="I4" s="145"/>
      <c r="J4" s="145"/>
      <c r="K4" s="145"/>
      <c r="L4" s="145"/>
      <c r="M4" s="145"/>
      <c r="N4" s="145"/>
      <c r="O4" s="145"/>
      <c r="P4" s="145"/>
      <c r="Q4" s="145"/>
      <c r="R4" s="145"/>
      <c r="S4" s="145"/>
      <c r="T4" s="145"/>
    </row>
    <row r="5" spans="1:24" ht="17.25" x14ac:dyDescent="0.25">
      <c r="A5" s="152"/>
      <c r="B5" s="152"/>
      <c r="C5" s="145"/>
      <c r="D5" s="145"/>
      <c r="E5" s="145"/>
      <c r="F5" s="145"/>
      <c r="G5" s="145"/>
      <c r="H5" s="145"/>
      <c r="I5" s="145"/>
      <c r="J5" s="145"/>
      <c r="K5" s="145"/>
      <c r="L5" s="145"/>
      <c r="M5" s="145"/>
      <c r="N5" s="145"/>
      <c r="O5" s="145"/>
      <c r="P5" s="145"/>
      <c r="Q5" s="145"/>
      <c r="R5" s="145"/>
      <c r="S5" s="145"/>
      <c r="T5" s="145"/>
    </row>
    <row r="6" spans="1:24" ht="25.5" customHeight="1" x14ac:dyDescent="0.25">
      <c r="A6" s="352" t="s">
        <v>64</v>
      </c>
      <c r="B6" s="352"/>
      <c r="C6" s="351" t="s">
        <v>34</v>
      </c>
      <c r="D6" s="351"/>
      <c r="E6" s="351" t="s">
        <v>68</v>
      </c>
      <c r="F6" s="351"/>
      <c r="G6" s="351" t="s">
        <v>57</v>
      </c>
      <c r="H6" s="351"/>
      <c r="I6" s="351"/>
      <c r="J6" s="351" t="s">
        <v>58</v>
      </c>
      <c r="K6" s="351"/>
      <c r="L6" s="351"/>
      <c r="M6" s="353" t="s">
        <v>59</v>
      </c>
      <c r="N6" s="353"/>
      <c r="O6" s="353"/>
      <c r="P6" s="351" t="s">
        <v>70</v>
      </c>
      <c r="Q6" s="351"/>
      <c r="R6" s="351"/>
      <c r="S6" s="357" t="s">
        <v>65</v>
      </c>
      <c r="T6" s="357"/>
      <c r="U6" s="357"/>
      <c r="V6" s="351" t="s">
        <v>78</v>
      </c>
      <c r="W6" s="351" t="s">
        <v>76</v>
      </c>
      <c r="X6" s="351" t="s">
        <v>66</v>
      </c>
    </row>
    <row r="7" spans="1:24" ht="25.5" x14ac:dyDescent="0.25">
      <c r="A7" s="153" t="s">
        <v>32</v>
      </c>
      <c r="B7" s="153" t="s">
        <v>33</v>
      </c>
      <c r="C7" s="146" t="s">
        <v>67</v>
      </c>
      <c r="D7" s="148" t="s">
        <v>33</v>
      </c>
      <c r="E7" s="146" t="s">
        <v>30</v>
      </c>
      <c r="F7" s="146" t="s">
        <v>69</v>
      </c>
      <c r="G7" s="146" t="s">
        <v>0</v>
      </c>
      <c r="H7" s="146" t="s">
        <v>1</v>
      </c>
      <c r="I7" s="146" t="s">
        <v>3</v>
      </c>
      <c r="J7" s="146" t="s">
        <v>0</v>
      </c>
      <c r="K7" s="146" t="s">
        <v>1</v>
      </c>
      <c r="L7" s="146" t="s">
        <v>3</v>
      </c>
      <c r="M7" s="52" t="s">
        <v>39</v>
      </c>
      <c r="N7" s="52" t="s">
        <v>38</v>
      </c>
      <c r="O7" s="52" t="s">
        <v>37</v>
      </c>
      <c r="P7" s="146" t="s">
        <v>0</v>
      </c>
      <c r="Q7" s="146" t="s">
        <v>1</v>
      </c>
      <c r="R7" s="146" t="s">
        <v>3</v>
      </c>
      <c r="S7" s="147" t="s">
        <v>0</v>
      </c>
      <c r="T7" s="147" t="s">
        <v>1</v>
      </c>
      <c r="U7" s="147" t="s">
        <v>3</v>
      </c>
      <c r="V7" s="351"/>
      <c r="W7" s="351"/>
      <c r="X7" s="351"/>
    </row>
    <row r="8" spans="1:24" ht="89.25" x14ac:dyDescent="0.25">
      <c r="A8" s="154">
        <v>1022</v>
      </c>
      <c r="B8" s="154">
        <v>11001</v>
      </c>
      <c r="C8" s="96" t="str">
        <f>'[1]Հ1 Ձև 2 (1) '!C6</f>
        <v xml:space="preserve"> Գյուղատնտեսության խթանման  ծրագիր</v>
      </c>
      <c r="D8" s="96" t="str">
        <f>'[1]Հ1 Ձև 2 (1) '!C8</f>
        <v>«Պետական աջակցություն Հայաստանի Հանրապետության խաղողագործության և գինեգործության ոլորտներում վարվող պետական քաղաքականության ու զարգացման ծրագրերի իրականացման»</v>
      </c>
      <c r="E8" s="96">
        <v>235984.1</v>
      </c>
      <c r="F8" s="96">
        <v>167000</v>
      </c>
      <c r="G8" s="96">
        <v>0</v>
      </c>
      <c r="H8" s="96">
        <v>0</v>
      </c>
      <c r="I8" s="96">
        <v>0</v>
      </c>
      <c r="J8" s="96">
        <v>867687</v>
      </c>
      <c r="K8" s="96">
        <v>310015.90000000002</v>
      </c>
      <c r="L8" s="96">
        <v>310015.90000000002</v>
      </c>
      <c r="M8" s="96">
        <v>1447391</v>
      </c>
      <c r="N8" s="96">
        <v>546000</v>
      </c>
      <c r="O8" s="96">
        <v>546000</v>
      </c>
      <c r="P8" s="96">
        <v>0</v>
      </c>
      <c r="Q8" s="96">
        <v>0</v>
      </c>
      <c r="R8" s="96">
        <v>0</v>
      </c>
      <c r="S8" s="96">
        <v>1447391</v>
      </c>
      <c r="T8" s="96">
        <v>546000</v>
      </c>
      <c r="U8" s="96">
        <v>546000</v>
      </c>
      <c r="V8" s="96">
        <f>'[1]Հ1 Ձև 2 (1) '!F5</f>
        <v>0</v>
      </c>
      <c r="W8" s="96">
        <f>'[1]Հ1 Ձև 2 (1) '!F6</f>
        <v>0</v>
      </c>
      <c r="X8" s="96" t="str">
        <f>'[1]Հ1 Ձև 2 (1) '!B13</f>
        <v>Հայեցողական (ոչ շարունակական)</v>
      </c>
    </row>
    <row r="9" spans="1:24" ht="38.25" x14ac:dyDescent="0.25">
      <c r="A9" s="154">
        <f>'1022-11002 ԳԾԿ Մելանի'!C5</f>
        <v>1022</v>
      </c>
      <c r="B9" s="154">
        <f>'1022-11002 ԳԾԿ Մելանի'!C7</f>
        <v>11002</v>
      </c>
      <c r="C9" s="96" t="str">
        <f>'1022-11002 ԳԾԿ Մելանի'!C6</f>
        <v>Գյուղատնտեսության խթանման ծրագիր</v>
      </c>
      <c r="D9" s="96" t="str">
        <f>'1022-11002 ԳԾԿ Մելանի'!C8</f>
        <v>Պետական աջակցություն Հայաստանի Հանրապետության գյուղատնտեսական ծրագրերի իրականացմանը</v>
      </c>
      <c r="E9" s="96">
        <f>'1022-11002 ԳԾԿ Մելանի'!C83</f>
        <v>325827.51000000007</v>
      </c>
      <c r="F9" s="96">
        <f>'1022-11002 ԳԾԿ Մելանի'!D83</f>
        <v>270423.89999999997</v>
      </c>
      <c r="G9" s="96">
        <f>'1022-11002 ԳԾԿ Մելանի'!E83</f>
        <v>62921.980918999994</v>
      </c>
      <c r="H9" s="96">
        <f>'1022-11002 ԳԾԿ Մելանի'!F83</f>
        <v>62921.980918999994</v>
      </c>
      <c r="I9" s="96">
        <f>'1022-11002 ԳԾԿ Մելանի'!G83</f>
        <v>62921.980918999994</v>
      </c>
      <c r="J9" s="96">
        <f>'1022-11002 ԳԾԿ Մելանի'!H83</f>
        <v>78469.524141000002</v>
      </c>
      <c r="K9" s="96">
        <f>'1022-11002 ԳԾԿ Մելանի'!I83</f>
        <v>78469.524141000002</v>
      </c>
      <c r="L9" s="96">
        <f>'1022-11002 ԳԾԿ Մելանի'!J83</f>
        <v>78469.524141000002</v>
      </c>
      <c r="M9" s="96">
        <f>'1022-11002 ԳԾԿ Մելանի'!K83</f>
        <v>467219.01506000006</v>
      </c>
      <c r="N9" s="96">
        <f>'1022-11002 ԳԾԿ Մելանի'!L83</f>
        <v>467219.01506000006</v>
      </c>
      <c r="O9" s="96">
        <f>'1022-11002 ԳԾԿ Մելանի'!M83</f>
        <v>467219.01506000006</v>
      </c>
      <c r="P9" s="96">
        <f>'1022-11002 ԳԾԿ Մելանի'!N83</f>
        <v>0</v>
      </c>
      <c r="Q9" s="96">
        <f>'1022-11002 ԳԾԿ Մելանի'!O83</f>
        <v>0</v>
      </c>
      <c r="R9" s="96">
        <f>'1022-11002 ԳԾԿ Մելանի'!P83</f>
        <v>0</v>
      </c>
      <c r="S9" s="96">
        <f>'1022-11002 ԳԾԿ Մելանի'!Q83</f>
        <v>467219.01506000006</v>
      </c>
      <c r="T9" s="96">
        <f>'1022-11002 ԳԾԿ Մելանի'!R83</f>
        <v>467219.01506000006</v>
      </c>
      <c r="U9" s="96">
        <f>'1022-11002 ԳԾԿ Մելանի'!S83</f>
        <v>467219.01506000006</v>
      </c>
      <c r="V9" s="96">
        <f>'1022-11002 ԳԾԿ Մելանի'!F5</f>
        <v>2020</v>
      </c>
      <c r="W9" s="96" t="str">
        <f>'1022-11002 ԳԾԿ Մելանի'!F6</f>
        <v>Շարունակական</v>
      </c>
      <c r="X9" s="96" t="str">
        <f>'1022-11002 ԳԾԿ Մելանի'!B13</f>
        <v>Պարտադիր</v>
      </c>
    </row>
    <row r="10" spans="1:24" customFormat="1" ht="51" x14ac:dyDescent="0.25">
      <c r="A10" s="97">
        <v>1022</v>
      </c>
      <c r="B10" s="97">
        <v>11004</v>
      </c>
      <c r="C10" s="96" t="str">
        <f>+C9</f>
        <v>Գյուղատնտեսության խթանման ծրագիր</v>
      </c>
      <c r="D10" s="97" t="s">
        <v>695</v>
      </c>
      <c r="E10" s="149">
        <v>0</v>
      </c>
      <c r="F10" s="149">
        <v>350000</v>
      </c>
      <c r="G10" s="149">
        <v>0</v>
      </c>
      <c r="H10" s="149">
        <v>0</v>
      </c>
      <c r="I10" s="149">
        <v>0</v>
      </c>
      <c r="J10" s="149">
        <v>171270.39999999999</v>
      </c>
      <c r="K10" s="149">
        <v>0</v>
      </c>
      <c r="L10" s="149">
        <v>0</v>
      </c>
      <c r="M10" s="149">
        <v>521270.4</v>
      </c>
      <c r="N10" s="149">
        <v>0</v>
      </c>
      <c r="O10" s="149">
        <v>0</v>
      </c>
      <c r="P10" s="149">
        <v>0</v>
      </c>
      <c r="Q10" s="149">
        <v>0</v>
      </c>
      <c r="R10" s="149">
        <v>0</v>
      </c>
      <c r="S10" s="149">
        <v>521270.4</v>
      </c>
      <c r="T10" s="149">
        <v>0</v>
      </c>
      <c r="U10" s="149">
        <v>0</v>
      </c>
      <c r="V10" s="97">
        <v>2022</v>
      </c>
      <c r="W10" s="97">
        <v>2024</v>
      </c>
      <c r="X10" s="97" t="s">
        <v>48</v>
      </c>
    </row>
    <row r="11" spans="1:24" customFormat="1" ht="38.25" x14ac:dyDescent="0.25">
      <c r="A11" s="97">
        <v>1022</v>
      </c>
      <c r="B11" s="97">
        <v>12001</v>
      </c>
      <c r="C11" s="97" t="s">
        <v>103</v>
      </c>
      <c r="D11" s="97" t="s">
        <v>609</v>
      </c>
      <c r="E11" s="149">
        <v>11672197.789999999</v>
      </c>
      <c r="F11" s="149">
        <v>8032798.5999999996</v>
      </c>
      <c r="G11" s="149"/>
      <c r="H11" s="149"/>
      <c r="I11" s="149"/>
      <c r="J11" s="149">
        <v>-5324556.49</v>
      </c>
      <c r="K11" s="149">
        <v>-8823699.7899999991</v>
      </c>
      <c r="L11" s="149">
        <v>-11155919.689999999</v>
      </c>
      <c r="M11" s="149">
        <v>6347641.2999999989</v>
      </c>
      <c r="N11" s="149">
        <v>2848498</v>
      </c>
      <c r="O11" s="149">
        <v>516278.09999999963</v>
      </c>
      <c r="P11" s="149">
        <v>0</v>
      </c>
      <c r="Q11" s="149">
        <v>0</v>
      </c>
      <c r="R11" s="149">
        <v>0</v>
      </c>
      <c r="S11" s="149">
        <v>6347641.2999999989</v>
      </c>
      <c r="T11" s="149">
        <v>2848498</v>
      </c>
      <c r="U11" s="149">
        <v>516278.09999999963</v>
      </c>
      <c r="V11" s="97" t="s">
        <v>599</v>
      </c>
      <c r="W11" s="97" t="s">
        <v>608</v>
      </c>
      <c r="X11" s="97" t="s">
        <v>46</v>
      </c>
    </row>
    <row r="12" spans="1:24" ht="63.75" x14ac:dyDescent="0.25">
      <c r="A12" s="97">
        <v>1022</v>
      </c>
      <c r="B12" s="97">
        <v>12004</v>
      </c>
      <c r="C12" s="96" t="s">
        <v>103</v>
      </c>
      <c r="D12" s="96" t="s">
        <v>313</v>
      </c>
      <c r="E12" s="96">
        <v>3739180.47</v>
      </c>
      <c r="F12" s="96">
        <v>3495999.7</v>
      </c>
      <c r="G12" s="96">
        <v>0</v>
      </c>
      <c r="H12" s="96">
        <v>-658333.4</v>
      </c>
      <c r="I12" s="96">
        <v>-203772.1</v>
      </c>
      <c r="J12" s="96">
        <v>0</v>
      </c>
      <c r="K12" s="96">
        <v>1305245.52</v>
      </c>
      <c r="L12" s="96">
        <v>420361</v>
      </c>
      <c r="M12" s="96">
        <v>4402113.6500000004</v>
      </c>
      <c r="N12" s="96">
        <v>4386092.59</v>
      </c>
      <c r="O12" s="96">
        <v>3955769.37</v>
      </c>
      <c r="P12" s="96">
        <v>0</v>
      </c>
      <c r="Q12" s="96">
        <v>0</v>
      </c>
      <c r="R12" s="96">
        <v>0</v>
      </c>
      <c r="S12" s="96">
        <v>4402113.6500000004</v>
      </c>
      <c r="T12" s="96">
        <v>4386092.59</v>
      </c>
      <c r="U12" s="96">
        <v>3955769.37</v>
      </c>
      <c r="V12" s="96">
        <v>2017</v>
      </c>
      <c r="W12" s="96">
        <v>0</v>
      </c>
      <c r="X12" s="96" t="s">
        <v>46</v>
      </c>
    </row>
    <row r="13" spans="1:24" customFormat="1" ht="89.25" x14ac:dyDescent="0.25">
      <c r="A13" s="97">
        <v>1022</v>
      </c>
      <c r="B13" s="97">
        <v>12005</v>
      </c>
      <c r="C13" s="97" t="s">
        <v>103</v>
      </c>
      <c r="D13" s="97" t="s">
        <v>623</v>
      </c>
      <c r="E13" s="149">
        <v>513576.97</v>
      </c>
      <c r="F13" s="149">
        <v>739927.1</v>
      </c>
      <c r="G13" s="149">
        <v>0</v>
      </c>
      <c r="H13" s="149">
        <v>0</v>
      </c>
      <c r="I13" s="149">
        <v>0</v>
      </c>
      <c r="J13" s="149">
        <v>434980.93</v>
      </c>
      <c r="K13" s="149">
        <v>672120.39</v>
      </c>
      <c r="L13" s="149">
        <v>909259.86</v>
      </c>
      <c r="M13" s="149">
        <v>948557.89999999991</v>
      </c>
      <c r="N13" s="149">
        <v>1185697.3599999999</v>
      </c>
      <c r="O13" s="149">
        <v>1422836.83</v>
      </c>
      <c r="P13" s="149">
        <v>0</v>
      </c>
      <c r="Q13" s="149">
        <v>0</v>
      </c>
      <c r="R13" s="149">
        <v>0</v>
      </c>
      <c r="S13" s="149">
        <v>948557.89999999991</v>
      </c>
      <c r="T13" s="331">
        <v>1185697.3599999999</v>
      </c>
      <c r="U13" s="331">
        <v>1422836.83</v>
      </c>
      <c r="V13" s="220" t="s">
        <v>622</v>
      </c>
      <c r="W13" s="97">
        <v>2026</v>
      </c>
      <c r="X13" s="220" t="s">
        <v>43</v>
      </c>
    </row>
    <row r="14" spans="1:24" customFormat="1" ht="51" x14ac:dyDescent="0.25">
      <c r="A14" s="24">
        <v>1022</v>
      </c>
      <c r="B14" s="24">
        <v>12010</v>
      </c>
      <c r="C14" s="24" t="s">
        <v>566</v>
      </c>
      <c r="D14" s="24" t="s">
        <v>567</v>
      </c>
      <c r="E14" s="96">
        <v>0</v>
      </c>
      <c r="F14" s="96">
        <v>3500000</v>
      </c>
      <c r="G14" s="96">
        <v>0</v>
      </c>
      <c r="H14" s="96">
        <v>0</v>
      </c>
      <c r="I14" s="96">
        <v>0</v>
      </c>
      <c r="J14" s="96">
        <v>0</v>
      </c>
      <c r="K14" s="96">
        <v>0</v>
      </c>
      <c r="L14" s="96">
        <v>0</v>
      </c>
      <c r="M14" s="96">
        <v>3500000</v>
      </c>
      <c r="N14" s="96">
        <v>3500000</v>
      </c>
      <c r="O14" s="96" t="s">
        <v>72</v>
      </c>
      <c r="P14" s="96">
        <v>0</v>
      </c>
      <c r="Q14" s="96">
        <v>0</v>
      </c>
      <c r="R14" s="96">
        <v>0</v>
      </c>
      <c r="S14" s="96">
        <v>3500000</v>
      </c>
      <c r="T14" s="96">
        <v>3500000</v>
      </c>
      <c r="U14" s="96">
        <v>0</v>
      </c>
      <c r="V14" s="24">
        <v>2022</v>
      </c>
      <c r="W14" s="24">
        <v>2025</v>
      </c>
      <c r="X14" s="24" t="s">
        <v>48</v>
      </c>
    </row>
    <row r="15" spans="1:24" customFormat="1" ht="51" x14ac:dyDescent="0.25">
      <c r="A15" s="24">
        <v>1022</v>
      </c>
      <c r="B15" s="24">
        <v>12011</v>
      </c>
      <c r="C15" s="24" t="s">
        <v>533</v>
      </c>
      <c r="D15" s="24" t="s">
        <v>534</v>
      </c>
      <c r="E15" s="96">
        <v>0</v>
      </c>
      <c r="F15" s="96">
        <v>1380000</v>
      </c>
      <c r="G15" s="96">
        <v>0</v>
      </c>
      <c r="H15" s="96">
        <v>0</v>
      </c>
      <c r="I15" s="96">
        <v>0</v>
      </c>
      <c r="J15" s="96">
        <v>0</v>
      </c>
      <c r="K15" s="96">
        <v>0</v>
      </c>
      <c r="L15" s="96">
        <v>0</v>
      </c>
      <c r="M15" s="96">
        <v>1380000</v>
      </c>
      <c r="N15" s="96">
        <v>1380000</v>
      </c>
      <c r="O15" s="96">
        <v>0</v>
      </c>
      <c r="P15" s="96">
        <v>0</v>
      </c>
      <c r="Q15" s="96">
        <v>0</v>
      </c>
      <c r="R15" s="96">
        <v>0</v>
      </c>
      <c r="S15" s="96">
        <v>1380000</v>
      </c>
      <c r="T15" s="96">
        <v>1380000</v>
      </c>
      <c r="U15" s="96">
        <v>0</v>
      </c>
      <c r="V15" s="24">
        <v>2021</v>
      </c>
      <c r="W15" s="24">
        <v>2026</v>
      </c>
      <c r="X15" s="24" t="s">
        <v>48</v>
      </c>
    </row>
    <row r="16" spans="1:24" ht="37.15" customHeight="1" x14ac:dyDescent="0.25">
      <c r="A16" s="154">
        <v>1022</v>
      </c>
      <c r="B16" s="154">
        <v>12012</v>
      </c>
      <c r="C16" s="96" t="s">
        <v>103</v>
      </c>
      <c r="D16" s="96" t="s">
        <v>302</v>
      </c>
      <c r="E16" s="96">
        <v>574550</v>
      </c>
      <c r="F16" s="96">
        <v>1000000</v>
      </c>
      <c r="G16" s="96">
        <v>0</v>
      </c>
      <c r="H16" s="96">
        <v>0</v>
      </c>
      <c r="I16" s="96">
        <v>0</v>
      </c>
      <c r="J16" s="96">
        <v>425450</v>
      </c>
      <c r="K16" s="96">
        <v>425450</v>
      </c>
      <c r="L16" s="96">
        <v>0</v>
      </c>
      <c r="M16" s="96">
        <v>1000000</v>
      </c>
      <c r="N16" s="96">
        <v>1000000</v>
      </c>
      <c r="O16" s="96">
        <v>0</v>
      </c>
      <c r="P16" s="96">
        <v>0</v>
      </c>
      <c r="Q16" s="96">
        <v>0</v>
      </c>
      <c r="R16" s="96">
        <v>0</v>
      </c>
      <c r="S16" s="96">
        <v>1000000</v>
      </c>
      <c r="T16" s="96">
        <v>1000000</v>
      </c>
      <c r="U16" s="96">
        <v>0</v>
      </c>
      <c r="V16" s="24">
        <v>2020</v>
      </c>
      <c r="W16" s="24">
        <v>2025</v>
      </c>
      <c r="X16" s="96" t="s">
        <v>46</v>
      </c>
    </row>
    <row r="17" spans="1:24" customFormat="1" ht="51" x14ac:dyDescent="0.25">
      <c r="A17" s="24">
        <v>1022</v>
      </c>
      <c r="B17" s="24">
        <v>32001</v>
      </c>
      <c r="C17" s="24" t="s">
        <v>696</v>
      </c>
      <c r="D17" s="24" t="s">
        <v>697</v>
      </c>
      <c r="E17" s="96">
        <v>0</v>
      </c>
      <c r="F17" s="96">
        <v>650000</v>
      </c>
      <c r="G17" s="96">
        <v>0</v>
      </c>
      <c r="H17" s="96">
        <v>0</v>
      </c>
      <c r="I17" s="96">
        <v>0</v>
      </c>
      <c r="J17" s="96">
        <v>3370000</v>
      </c>
      <c r="K17" s="96">
        <v>0</v>
      </c>
      <c r="L17" s="96">
        <v>0</v>
      </c>
      <c r="M17" s="96">
        <v>4020000</v>
      </c>
      <c r="N17" s="96">
        <v>0</v>
      </c>
      <c r="O17" s="96">
        <v>0</v>
      </c>
      <c r="P17" s="96">
        <v>0</v>
      </c>
      <c r="Q17" s="96">
        <v>0</v>
      </c>
      <c r="R17" s="96">
        <v>0</v>
      </c>
      <c r="S17" s="96">
        <v>4020000</v>
      </c>
      <c r="T17" s="96">
        <v>0</v>
      </c>
      <c r="U17" s="96">
        <v>0</v>
      </c>
      <c r="V17" s="24">
        <v>2022</v>
      </c>
      <c r="W17" s="24">
        <v>2024</v>
      </c>
      <c r="X17" s="24" t="s">
        <v>48</v>
      </c>
    </row>
    <row r="18" spans="1:24" customFormat="1" ht="100.15" customHeight="1" x14ac:dyDescent="0.25">
      <c r="A18" s="24">
        <v>1058</v>
      </c>
      <c r="B18" s="24">
        <v>11001</v>
      </c>
      <c r="C18" s="24" t="s">
        <v>731</v>
      </c>
      <c r="D18" s="24" t="s">
        <v>731</v>
      </c>
      <c r="E18" s="96">
        <v>2110933.33</v>
      </c>
      <c r="F18" s="96">
        <v>2437775.7999999998</v>
      </c>
      <c r="G18" s="96">
        <v>468805.84799999988</v>
      </c>
      <c r="H18" s="96">
        <v>485808.87446400023</v>
      </c>
      <c r="I18" s="96">
        <v>499938.0795520005</v>
      </c>
      <c r="J18" s="96">
        <v>0</v>
      </c>
      <c r="K18" s="96">
        <v>0</v>
      </c>
      <c r="L18" s="96">
        <v>0</v>
      </c>
      <c r="M18" s="96">
        <v>2579739.1079999995</v>
      </c>
      <c r="N18" s="96">
        <v>2596742.1344639999</v>
      </c>
      <c r="O18" s="96">
        <v>2610871.3395520002</v>
      </c>
      <c r="P18" s="96">
        <v>0</v>
      </c>
      <c r="Q18" s="96">
        <v>0</v>
      </c>
      <c r="R18" s="96">
        <v>0</v>
      </c>
      <c r="S18" s="96">
        <v>2579739.1079999995</v>
      </c>
      <c r="T18" s="96">
        <v>2596742.1344639999</v>
      </c>
      <c r="U18" s="96">
        <v>2610871.3395520002</v>
      </c>
      <c r="V18" s="24">
        <v>0</v>
      </c>
      <c r="W18" s="24" t="s">
        <v>132</v>
      </c>
      <c r="X18" s="24" t="s">
        <v>43</v>
      </c>
    </row>
    <row r="19" spans="1:24" customFormat="1" ht="76.5" x14ac:dyDescent="0.25">
      <c r="A19" s="97">
        <v>1058</v>
      </c>
      <c r="B19" s="97">
        <v>11002</v>
      </c>
      <c r="C19" s="97" t="s">
        <v>731</v>
      </c>
      <c r="D19" s="97" t="s">
        <v>732</v>
      </c>
      <c r="E19" s="149">
        <v>65741.33</v>
      </c>
      <c r="F19" s="149">
        <v>310744.5</v>
      </c>
      <c r="G19" s="149">
        <v>0</v>
      </c>
      <c r="H19" s="149">
        <v>0</v>
      </c>
      <c r="I19" s="149">
        <v>0</v>
      </c>
      <c r="J19" s="149">
        <v>276382.57</v>
      </c>
      <c r="K19" s="149">
        <v>276382.57</v>
      </c>
      <c r="L19" s="149">
        <v>276382.57</v>
      </c>
      <c r="M19" s="149">
        <v>342123.9</v>
      </c>
      <c r="N19" s="149">
        <v>342123.9</v>
      </c>
      <c r="O19" s="149">
        <v>342123.9</v>
      </c>
      <c r="P19" s="149">
        <v>0</v>
      </c>
      <c r="Q19" s="149">
        <v>0</v>
      </c>
      <c r="R19" s="149">
        <v>0</v>
      </c>
      <c r="S19" s="149">
        <v>342123.9</v>
      </c>
      <c r="T19" s="149">
        <v>342123.9</v>
      </c>
      <c r="U19" s="149">
        <v>342123.9</v>
      </c>
      <c r="V19" s="149">
        <v>0</v>
      </c>
      <c r="W19" s="97">
        <v>0</v>
      </c>
      <c r="X19" s="97" t="s">
        <v>46</v>
      </c>
    </row>
    <row r="20" spans="1:24" customFormat="1" ht="108.75" customHeight="1" x14ac:dyDescent="0.25">
      <c r="A20" s="24">
        <v>1058</v>
      </c>
      <c r="B20" s="24">
        <v>11003</v>
      </c>
      <c r="C20" s="24" t="s">
        <v>711</v>
      </c>
      <c r="D20" s="24" t="s">
        <v>712</v>
      </c>
      <c r="E20" s="332">
        <v>35225.22</v>
      </c>
      <c r="F20" s="149">
        <v>27360</v>
      </c>
      <c r="G20" s="24"/>
      <c r="H20" s="24">
        <v>0</v>
      </c>
      <c r="I20" s="24">
        <v>0</v>
      </c>
      <c r="J20" s="332">
        <v>234.77999999999884</v>
      </c>
      <c r="K20" s="332">
        <v>234.77999999999884</v>
      </c>
      <c r="L20" s="332">
        <v>234.77999999999884</v>
      </c>
      <c r="M20" s="332">
        <v>27360</v>
      </c>
      <c r="N20" s="332">
        <v>27360</v>
      </c>
      <c r="O20" s="332">
        <v>27360</v>
      </c>
      <c r="P20" s="332">
        <v>0</v>
      </c>
      <c r="Q20" s="332">
        <v>0</v>
      </c>
      <c r="R20" s="332">
        <v>0</v>
      </c>
      <c r="S20" s="332">
        <v>27360</v>
      </c>
      <c r="T20" s="332">
        <v>27360</v>
      </c>
      <c r="U20" s="332">
        <v>27360</v>
      </c>
      <c r="V20" s="24">
        <v>2015</v>
      </c>
      <c r="W20" s="24" t="s">
        <v>245</v>
      </c>
      <c r="X20" s="24" t="s">
        <v>46</v>
      </c>
    </row>
    <row r="21" spans="1:24" ht="76.5" x14ac:dyDescent="0.25">
      <c r="A21" s="154">
        <v>1058</v>
      </c>
      <c r="B21" s="154">
        <v>11007</v>
      </c>
      <c r="C21" s="96" t="s">
        <v>243</v>
      </c>
      <c r="D21" s="96" t="s">
        <v>248</v>
      </c>
      <c r="E21" s="96">
        <v>36142.71</v>
      </c>
      <c r="F21" s="96">
        <v>220000</v>
      </c>
      <c r="G21" s="96">
        <v>220000</v>
      </c>
      <c r="H21" s="96">
        <v>220000</v>
      </c>
      <c r="I21" s="96">
        <v>220000</v>
      </c>
      <c r="J21" s="96">
        <v>183857.3</v>
      </c>
      <c r="K21" s="96">
        <v>183857.3</v>
      </c>
      <c r="L21" s="96">
        <v>183857.3</v>
      </c>
      <c r="M21" s="96">
        <v>220000</v>
      </c>
      <c r="N21" s="96">
        <v>220000</v>
      </c>
      <c r="O21" s="96">
        <v>220000</v>
      </c>
      <c r="P21" s="96"/>
      <c r="Q21" s="96"/>
      <c r="R21" s="96"/>
      <c r="S21" s="96">
        <v>220000</v>
      </c>
      <c r="T21" s="96">
        <v>220000</v>
      </c>
      <c r="U21" s="96">
        <v>220000</v>
      </c>
      <c r="V21" s="96">
        <v>2022</v>
      </c>
      <c r="W21" s="96" t="s">
        <v>301</v>
      </c>
      <c r="X21" s="96" t="s">
        <v>46</v>
      </c>
    </row>
    <row r="22" spans="1:24" customFormat="1" ht="100.15" customHeight="1" x14ac:dyDescent="0.25">
      <c r="A22" s="24">
        <v>1058</v>
      </c>
      <c r="B22" s="24">
        <v>31001</v>
      </c>
      <c r="C22" s="24" t="s">
        <v>731</v>
      </c>
      <c r="D22" s="24" t="s">
        <v>742</v>
      </c>
      <c r="E22" s="96">
        <v>51661.4</v>
      </c>
      <c r="F22" s="96">
        <v>21818.7</v>
      </c>
      <c r="G22" s="96">
        <v>52857.700000000004</v>
      </c>
      <c r="H22" s="96">
        <v>52857.700000000004</v>
      </c>
      <c r="I22" s="96">
        <v>52857.700000000004</v>
      </c>
      <c r="J22" s="96">
        <v>0</v>
      </c>
      <c r="K22" s="96">
        <v>0</v>
      </c>
      <c r="L22" s="96">
        <v>0</v>
      </c>
      <c r="M22" s="96">
        <v>104519.1</v>
      </c>
      <c r="N22" s="96">
        <v>104519.1</v>
      </c>
      <c r="O22" s="96">
        <v>104519.1</v>
      </c>
      <c r="P22" s="96">
        <v>0</v>
      </c>
      <c r="Q22" s="96">
        <v>0</v>
      </c>
      <c r="R22" s="96">
        <v>0</v>
      </c>
      <c r="S22" s="96">
        <v>35899.5</v>
      </c>
      <c r="T22" s="96">
        <v>104519.1</v>
      </c>
      <c r="U22" s="96">
        <v>104519.1</v>
      </c>
      <c r="V22" s="24">
        <v>0</v>
      </c>
      <c r="W22" s="24" t="s">
        <v>132</v>
      </c>
      <c r="X22" s="24" t="s">
        <v>43</v>
      </c>
    </row>
    <row r="23" spans="1:24" customFormat="1" ht="100.15" customHeight="1" x14ac:dyDescent="0.25">
      <c r="A23" s="24">
        <v>1058</v>
      </c>
      <c r="B23" s="24">
        <v>31002</v>
      </c>
      <c r="C23" s="24" t="s">
        <v>731</v>
      </c>
      <c r="D23" s="24" t="s">
        <v>746</v>
      </c>
      <c r="E23" s="96">
        <v>0</v>
      </c>
      <c r="F23" s="96">
        <v>300000</v>
      </c>
      <c r="G23" s="96">
        <v>2334000</v>
      </c>
      <c r="H23" s="96">
        <v>0</v>
      </c>
      <c r="I23" s="96">
        <v>0</v>
      </c>
      <c r="J23" s="96">
        <v>0</v>
      </c>
      <c r="K23" s="96">
        <v>0</v>
      </c>
      <c r="L23" s="96">
        <v>0</v>
      </c>
      <c r="M23" s="96">
        <v>2334000</v>
      </c>
      <c r="N23" s="96">
        <v>0</v>
      </c>
      <c r="O23" s="96">
        <v>0</v>
      </c>
      <c r="P23" s="96">
        <v>0</v>
      </c>
      <c r="Q23" s="96">
        <v>0</v>
      </c>
      <c r="R23" s="96">
        <v>0</v>
      </c>
      <c r="S23" s="96">
        <v>2334000</v>
      </c>
      <c r="T23" s="96">
        <v>0</v>
      </c>
      <c r="U23" s="96">
        <v>0</v>
      </c>
      <c r="V23" s="24">
        <v>0</v>
      </c>
      <c r="W23" s="24" t="s">
        <v>132</v>
      </c>
      <c r="X23" s="24" t="s">
        <v>43</v>
      </c>
    </row>
    <row r="24" spans="1:24" customFormat="1" ht="63.75" x14ac:dyDescent="0.25">
      <c r="A24" s="24">
        <v>1059</v>
      </c>
      <c r="B24" s="24">
        <v>11001</v>
      </c>
      <c r="C24" s="24" t="s">
        <v>371</v>
      </c>
      <c r="D24" s="24" t="s">
        <v>372</v>
      </c>
      <c r="E24" s="96">
        <v>47934.6</v>
      </c>
      <c r="F24" s="96">
        <v>47940</v>
      </c>
      <c r="G24" s="96">
        <v>12402</v>
      </c>
      <c r="H24" s="96">
        <v>12402</v>
      </c>
      <c r="I24" s="96">
        <v>12402</v>
      </c>
      <c r="J24" s="96">
        <v>35742.5</v>
      </c>
      <c r="K24" s="96">
        <v>35742.5</v>
      </c>
      <c r="L24" s="96">
        <v>35742.5</v>
      </c>
      <c r="M24" s="96">
        <v>95880</v>
      </c>
      <c r="N24" s="96">
        <v>95880</v>
      </c>
      <c r="O24" s="96">
        <v>95880</v>
      </c>
      <c r="P24" s="96">
        <v>0</v>
      </c>
      <c r="Q24" s="96">
        <v>0</v>
      </c>
      <c r="R24" s="96">
        <v>0</v>
      </c>
      <c r="S24" s="96">
        <v>95880</v>
      </c>
      <c r="T24" s="96">
        <v>95880</v>
      </c>
      <c r="U24" s="96">
        <v>95880</v>
      </c>
      <c r="V24" s="96">
        <v>0</v>
      </c>
      <c r="W24" s="96">
        <v>0</v>
      </c>
      <c r="X24" s="24" t="s">
        <v>43</v>
      </c>
    </row>
    <row r="25" spans="1:24" customFormat="1" ht="51" x14ac:dyDescent="0.25">
      <c r="A25" s="97">
        <v>1059</v>
      </c>
      <c r="B25" s="97">
        <v>11002</v>
      </c>
      <c r="C25" s="97" t="s">
        <v>358</v>
      </c>
      <c r="D25" s="97" t="s">
        <v>359</v>
      </c>
      <c r="E25" s="149">
        <v>19648.53</v>
      </c>
      <c r="F25" s="149">
        <v>20518.287</v>
      </c>
      <c r="G25" s="149">
        <v>297</v>
      </c>
      <c r="H25" s="149">
        <v>297</v>
      </c>
      <c r="I25" s="149">
        <v>297</v>
      </c>
      <c r="J25" s="149">
        <v>9430.7999999999993</v>
      </c>
      <c r="K25" s="149">
        <v>9430.7999999999993</v>
      </c>
      <c r="L25" s="149">
        <v>9430.7999999999993</v>
      </c>
      <c r="M25" s="149">
        <v>29376.327999999998</v>
      </c>
      <c r="N25" s="149">
        <v>29376.327999999998</v>
      </c>
      <c r="O25" s="149">
        <v>29376.327999999998</v>
      </c>
      <c r="P25" s="149">
        <v>0</v>
      </c>
      <c r="Q25" s="149">
        <v>0</v>
      </c>
      <c r="R25" s="149">
        <v>0</v>
      </c>
      <c r="S25" s="149">
        <v>29376.327999999998</v>
      </c>
      <c r="T25" s="149">
        <v>29376.327999999998</v>
      </c>
      <c r="U25" s="149">
        <v>29376.327999999998</v>
      </c>
      <c r="V25" s="97" t="s">
        <v>357</v>
      </c>
      <c r="W25" s="97" t="s">
        <v>245</v>
      </c>
      <c r="X25" s="97" t="s">
        <v>48</v>
      </c>
    </row>
    <row r="26" spans="1:24" customFormat="1" ht="51" x14ac:dyDescent="0.25">
      <c r="A26" s="173" t="s">
        <v>384</v>
      </c>
      <c r="B26" s="173" t="s">
        <v>387</v>
      </c>
      <c r="C26" s="97" t="s">
        <v>386</v>
      </c>
      <c r="D26" s="97" t="s">
        <v>388</v>
      </c>
      <c r="E26" s="149">
        <v>48065.7</v>
      </c>
      <c r="F26" s="149">
        <v>48065.7</v>
      </c>
      <c r="G26" s="149">
        <v>89358.3</v>
      </c>
      <c r="H26" s="149">
        <v>89358.3</v>
      </c>
      <c r="I26" s="149">
        <v>89358.3</v>
      </c>
      <c r="J26" s="149">
        <v>22320</v>
      </c>
      <c r="K26" s="149">
        <v>22320</v>
      </c>
      <c r="L26" s="149">
        <v>22320</v>
      </c>
      <c r="M26" s="149">
        <v>159744</v>
      </c>
      <c r="N26" s="149">
        <v>159744</v>
      </c>
      <c r="O26" s="149">
        <v>159744</v>
      </c>
      <c r="P26" s="149">
        <v>0</v>
      </c>
      <c r="Q26" s="149">
        <v>0</v>
      </c>
      <c r="R26" s="149">
        <v>0</v>
      </c>
      <c r="S26" s="149">
        <v>159744</v>
      </c>
      <c r="T26" s="149">
        <v>159744</v>
      </c>
      <c r="U26" s="149">
        <v>159744</v>
      </c>
      <c r="V26" s="97" t="s">
        <v>385</v>
      </c>
      <c r="W26" s="97" t="s">
        <v>132</v>
      </c>
      <c r="X26" s="97" t="s">
        <v>48</v>
      </c>
    </row>
    <row r="27" spans="1:24" customFormat="1" ht="51" x14ac:dyDescent="0.25">
      <c r="A27" s="24">
        <v>1067</v>
      </c>
      <c r="B27" s="24">
        <v>11001</v>
      </c>
      <c r="C27" s="24" t="s">
        <v>584</v>
      </c>
      <c r="D27" s="24" t="s">
        <v>598</v>
      </c>
      <c r="E27" s="96">
        <v>14123.4</v>
      </c>
      <c r="F27" s="96">
        <v>14123.4</v>
      </c>
      <c r="G27" s="96">
        <v>0</v>
      </c>
      <c r="H27" s="96">
        <v>0</v>
      </c>
      <c r="I27" s="96">
        <v>0</v>
      </c>
      <c r="J27" s="96">
        <f>'[2]Հ1 Ձև 2 (1) '!H53</f>
        <v>0</v>
      </c>
      <c r="K27" s="96">
        <f>'[2]Հ1 Ձև 2 (1) '!I53</f>
        <v>0</v>
      </c>
      <c r="L27" s="96">
        <f>'[2]Հ1 Ձև 2 (1) '!J53</f>
        <v>0</v>
      </c>
      <c r="M27" s="96">
        <v>14123.4</v>
      </c>
      <c r="N27" s="96">
        <v>14123.4</v>
      </c>
      <c r="O27" s="96">
        <v>14123.4</v>
      </c>
      <c r="P27" s="96">
        <f>'[2]Հ1 Ձև 2 (1) '!N53</f>
        <v>0</v>
      </c>
      <c r="Q27" s="96">
        <f>'[2]Հ1 Ձև 2 (1) '!O53</f>
        <v>0</v>
      </c>
      <c r="R27" s="96">
        <f>'[2]Հ1 Ձև 2 (1) '!P53</f>
        <v>0</v>
      </c>
      <c r="S27" s="96">
        <v>14123.4</v>
      </c>
      <c r="T27" s="96">
        <v>14123.4</v>
      </c>
      <c r="U27" s="96">
        <v>14123.4</v>
      </c>
      <c r="V27" s="24" t="s">
        <v>385</v>
      </c>
      <c r="W27" s="24" t="s">
        <v>245</v>
      </c>
      <c r="X27" s="24" t="s">
        <v>586</v>
      </c>
    </row>
    <row r="28" spans="1:24" customFormat="1" ht="51" x14ac:dyDescent="0.25">
      <c r="A28" s="24">
        <v>1067</v>
      </c>
      <c r="B28" s="24">
        <v>11002</v>
      </c>
      <c r="C28" s="24" t="s">
        <v>584</v>
      </c>
      <c r="D28" s="24" t="s">
        <v>722</v>
      </c>
      <c r="E28" s="96">
        <v>13900</v>
      </c>
      <c r="F28" s="96">
        <v>16680</v>
      </c>
      <c r="G28" s="96">
        <v>0</v>
      </c>
      <c r="H28" s="96">
        <v>0</v>
      </c>
      <c r="I28" s="96">
        <v>0</v>
      </c>
      <c r="J28" s="96">
        <v>77750.399999999994</v>
      </c>
      <c r="K28" s="96">
        <v>77750.399999999994</v>
      </c>
      <c r="L28" s="96">
        <v>77750.399999999994</v>
      </c>
      <c r="M28" s="96">
        <v>91650.4</v>
      </c>
      <c r="N28" s="96">
        <v>91650.4</v>
      </c>
      <c r="O28" s="96">
        <v>91650.4</v>
      </c>
      <c r="P28" s="96">
        <v>0</v>
      </c>
      <c r="Q28" s="96">
        <v>0</v>
      </c>
      <c r="R28" s="96">
        <v>0</v>
      </c>
      <c r="S28" s="96">
        <v>91650.4</v>
      </c>
      <c r="T28" s="96">
        <v>91650.4</v>
      </c>
      <c r="U28" s="96">
        <v>91650.4</v>
      </c>
      <c r="V28" s="24">
        <v>2013</v>
      </c>
      <c r="W28" s="24" t="s">
        <v>729</v>
      </c>
      <c r="X28" s="24" t="s">
        <v>586</v>
      </c>
    </row>
    <row r="29" spans="1:24" customFormat="1" ht="63.75" x14ac:dyDescent="0.25">
      <c r="A29" s="24">
        <v>1086</v>
      </c>
      <c r="B29" s="24">
        <v>11003</v>
      </c>
      <c r="C29" s="24" t="s">
        <v>782</v>
      </c>
      <c r="D29" s="24" t="s">
        <v>783</v>
      </c>
      <c r="E29" s="96">
        <v>25557.200000000001</v>
      </c>
      <c r="F29" s="96">
        <v>35000</v>
      </c>
      <c r="G29" s="96">
        <f>+S29-$E$29</f>
        <v>9442.7999999999993</v>
      </c>
      <c r="H29" s="96">
        <f t="shared" ref="H29:I29" si="0">+T29-$E$29</f>
        <v>9442.7999999999993</v>
      </c>
      <c r="I29" s="96">
        <f t="shared" si="0"/>
        <v>9442.7999999999993</v>
      </c>
      <c r="J29" s="96"/>
      <c r="K29" s="96"/>
      <c r="L29" s="96"/>
      <c r="M29" s="96">
        <v>35000</v>
      </c>
      <c r="N29" s="96">
        <v>35000</v>
      </c>
      <c r="O29" s="96">
        <v>35000</v>
      </c>
      <c r="P29" s="96"/>
      <c r="Q29" s="96"/>
      <c r="R29" s="96"/>
      <c r="S29" s="96">
        <v>35000</v>
      </c>
      <c r="T29" s="96">
        <v>35000</v>
      </c>
      <c r="U29" s="96">
        <v>35000</v>
      </c>
      <c r="V29" s="24"/>
      <c r="W29" s="24" t="s">
        <v>729</v>
      </c>
      <c r="X29" s="24" t="s">
        <v>784</v>
      </c>
    </row>
    <row r="30" spans="1:24" customFormat="1" ht="89.25" x14ac:dyDescent="0.25">
      <c r="A30" s="24">
        <v>1086</v>
      </c>
      <c r="B30" s="24">
        <v>11004</v>
      </c>
      <c r="C30" s="24" t="s">
        <v>759</v>
      </c>
      <c r="D30" s="24" t="s">
        <v>760</v>
      </c>
      <c r="E30" s="24">
        <v>0</v>
      </c>
      <c r="F30" s="96">
        <v>216381</v>
      </c>
      <c r="G30" s="96">
        <v>0</v>
      </c>
      <c r="H30" s="96">
        <v>0</v>
      </c>
      <c r="I30" s="96">
        <v>0</v>
      </c>
      <c r="J30" s="96">
        <v>441444.9</v>
      </c>
      <c r="K30" s="96">
        <v>441444.9</v>
      </c>
      <c r="L30" s="96">
        <v>220722.5</v>
      </c>
      <c r="M30" s="96">
        <v>441444.9</v>
      </c>
      <c r="N30" s="96">
        <v>441444.9</v>
      </c>
      <c r="O30" s="96">
        <v>220722.5</v>
      </c>
      <c r="P30" s="96">
        <v>0</v>
      </c>
      <c r="Q30" s="96">
        <v>0</v>
      </c>
      <c r="R30" s="96">
        <v>0</v>
      </c>
      <c r="S30" s="96">
        <v>441444.9</v>
      </c>
      <c r="T30" s="96">
        <v>441444.9</v>
      </c>
      <c r="U30" s="96">
        <v>220722.5</v>
      </c>
      <c r="V30" s="96">
        <v>2021</v>
      </c>
      <c r="W30" s="96">
        <v>2026</v>
      </c>
      <c r="X30" s="96" t="s">
        <v>48</v>
      </c>
    </row>
    <row r="31" spans="1:24" customFormat="1" ht="171.6" customHeight="1" x14ac:dyDescent="0.25">
      <c r="A31" s="24">
        <v>1086</v>
      </c>
      <c r="B31" s="24">
        <v>12003</v>
      </c>
      <c r="C31" s="24" t="s">
        <v>759</v>
      </c>
      <c r="D31" s="24" t="s">
        <v>760</v>
      </c>
      <c r="E31" s="24">
        <v>0</v>
      </c>
      <c r="F31" s="96">
        <v>255008.3</v>
      </c>
      <c r="G31" s="96">
        <v>0</v>
      </c>
      <c r="H31" s="96">
        <v>0</v>
      </c>
      <c r="I31" s="96">
        <v>0</v>
      </c>
      <c r="J31" s="96">
        <v>1046445</v>
      </c>
      <c r="K31" s="96">
        <v>1046445</v>
      </c>
      <c r="L31" s="96">
        <v>523222.4</v>
      </c>
      <c r="M31" s="96">
        <v>1046445</v>
      </c>
      <c r="N31" s="96">
        <v>1046445</v>
      </c>
      <c r="O31" s="96">
        <v>523222.4</v>
      </c>
      <c r="P31" s="96">
        <v>0</v>
      </c>
      <c r="Q31" s="96">
        <v>0</v>
      </c>
      <c r="R31" s="96">
        <v>0</v>
      </c>
      <c r="S31" s="96">
        <v>1046445</v>
      </c>
      <c r="T31" s="96">
        <v>1046445</v>
      </c>
      <c r="U31" s="96">
        <v>523222.4</v>
      </c>
      <c r="V31" s="96">
        <v>2021</v>
      </c>
      <c r="W31" s="96">
        <v>2024</v>
      </c>
      <c r="X31" s="96" t="s">
        <v>48</v>
      </c>
    </row>
    <row r="32" spans="1:24" customFormat="1" ht="171.6" customHeight="1" x14ac:dyDescent="0.25">
      <c r="A32" s="24">
        <v>1086</v>
      </c>
      <c r="B32" s="24">
        <v>31001</v>
      </c>
      <c r="C32" s="24" t="s">
        <v>759</v>
      </c>
      <c r="D32" s="24" t="s">
        <v>768</v>
      </c>
      <c r="E32" s="24">
        <v>0</v>
      </c>
      <c r="F32" s="96">
        <v>121493.9</v>
      </c>
      <c r="G32" s="96">
        <v>0</v>
      </c>
      <c r="H32" s="96">
        <v>0</v>
      </c>
      <c r="I32" s="96">
        <v>0</v>
      </c>
      <c r="J32" s="96">
        <v>28012.400000000001</v>
      </c>
      <c r="K32" s="96">
        <v>0</v>
      </c>
      <c r="L32" s="96">
        <v>0</v>
      </c>
      <c r="M32" s="96">
        <v>28012.400000000001</v>
      </c>
      <c r="N32" s="96">
        <v>0</v>
      </c>
      <c r="O32" s="96">
        <v>0</v>
      </c>
      <c r="P32" s="96">
        <v>0</v>
      </c>
      <c r="Q32" s="96">
        <v>0</v>
      </c>
      <c r="R32" s="96">
        <v>0</v>
      </c>
      <c r="S32" s="96">
        <v>28012.400000000001</v>
      </c>
      <c r="T32" s="96">
        <v>0</v>
      </c>
      <c r="U32" s="96">
        <v>0</v>
      </c>
      <c r="V32" s="96">
        <v>2021</v>
      </c>
      <c r="W32" s="96">
        <v>2024</v>
      </c>
      <c r="X32" s="96" t="s">
        <v>48</v>
      </c>
    </row>
    <row r="33" spans="1:24" customFormat="1" ht="76.5" x14ac:dyDescent="0.25">
      <c r="A33" s="97">
        <v>1104</v>
      </c>
      <c r="B33" s="97">
        <v>12001</v>
      </c>
      <c r="C33" s="97" t="s">
        <v>409</v>
      </c>
      <c r="D33" s="97" t="s">
        <v>455</v>
      </c>
      <c r="E33" s="149">
        <v>4311791.18</v>
      </c>
      <c r="F33" s="149">
        <v>8233900</v>
      </c>
      <c r="G33" s="149"/>
      <c r="H33" s="149"/>
      <c r="I33" s="149"/>
      <c r="J33" s="149">
        <v>12031557.593</v>
      </c>
      <c r="K33" s="149">
        <v>16463958.355999997</v>
      </c>
      <c r="L33" s="149">
        <v>16825857.704999998</v>
      </c>
      <c r="M33" s="149">
        <v>16343348.682</v>
      </c>
      <c r="N33" s="149">
        <v>20775749.444999997</v>
      </c>
      <c r="O33" s="149">
        <v>21137648.794</v>
      </c>
      <c r="P33" s="149">
        <v>0</v>
      </c>
      <c r="Q33" s="149">
        <v>0</v>
      </c>
      <c r="R33" s="149">
        <v>0</v>
      </c>
      <c r="S33" s="149">
        <v>16343348.682</v>
      </c>
      <c r="T33" s="149">
        <v>20775749.444999997</v>
      </c>
      <c r="U33" s="149">
        <v>21137648.794</v>
      </c>
      <c r="V33" s="97" t="s">
        <v>464</v>
      </c>
      <c r="W33" s="97" t="s">
        <v>465</v>
      </c>
      <c r="X33" s="97" t="s">
        <v>43</v>
      </c>
    </row>
    <row r="34" spans="1:24" customFormat="1" ht="76.5" x14ac:dyDescent="0.25">
      <c r="A34" s="24">
        <v>1104</v>
      </c>
      <c r="B34" s="24">
        <v>11001</v>
      </c>
      <c r="C34" s="24" t="s">
        <v>409</v>
      </c>
      <c r="D34" s="24" t="s">
        <v>411</v>
      </c>
      <c r="E34" s="96">
        <v>0</v>
      </c>
      <c r="F34" s="149">
        <v>160092.5</v>
      </c>
      <c r="G34" s="96">
        <v>0</v>
      </c>
      <c r="H34" s="96">
        <v>0</v>
      </c>
      <c r="I34" s="96">
        <v>0</v>
      </c>
      <c r="J34" s="96">
        <v>4326907.5</v>
      </c>
      <c r="K34" s="96">
        <v>4754091.9000000004</v>
      </c>
      <c r="L34" s="96">
        <v>5556591.9000000004</v>
      </c>
      <c r="M34" s="96">
        <v>4487000</v>
      </c>
      <c r="N34" s="96">
        <v>4914184.4000000004</v>
      </c>
      <c r="O34" s="96">
        <v>5716684.4000000004</v>
      </c>
      <c r="P34" s="96">
        <v>0</v>
      </c>
      <c r="Q34" s="96">
        <v>0</v>
      </c>
      <c r="R34" s="96">
        <v>0</v>
      </c>
      <c r="S34" s="96">
        <v>4487000</v>
      </c>
      <c r="T34" s="96">
        <v>4914184.4000000004</v>
      </c>
      <c r="U34" s="96">
        <v>5716684.4000000004</v>
      </c>
      <c r="V34" s="24" t="s">
        <v>408</v>
      </c>
      <c r="W34" s="24" t="s">
        <v>410</v>
      </c>
      <c r="X34" s="24" t="s">
        <v>43</v>
      </c>
    </row>
    <row r="35" spans="1:24" customFormat="1" ht="76.5" x14ac:dyDescent="0.25">
      <c r="A35" s="97">
        <v>1104</v>
      </c>
      <c r="B35" s="97">
        <v>11002</v>
      </c>
      <c r="C35" s="97" t="s">
        <v>409</v>
      </c>
      <c r="D35" s="97" t="s">
        <v>444</v>
      </c>
      <c r="E35" s="149">
        <v>0</v>
      </c>
      <c r="F35" s="149">
        <v>1573200</v>
      </c>
      <c r="G35" s="149">
        <v>0</v>
      </c>
      <c r="H35" s="149">
        <v>0</v>
      </c>
      <c r="I35" s="149">
        <v>0</v>
      </c>
      <c r="J35" s="149">
        <v>649080</v>
      </c>
      <c r="K35" s="149">
        <v>873720</v>
      </c>
      <c r="L35" s="149">
        <v>1065720</v>
      </c>
      <c r="M35" s="149">
        <v>2223360</v>
      </c>
      <c r="N35" s="149">
        <v>2448000</v>
      </c>
      <c r="O35" s="149">
        <v>2640000</v>
      </c>
      <c r="P35" s="149">
        <v>0</v>
      </c>
      <c r="Q35" s="149">
        <v>0</v>
      </c>
      <c r="R35" s="149">
        <v>0</v>
      </c>
      <c r="S35" s="149">
        <v>2223360</v>
      </c>
      <c r="T35" s="149">
        <v>2448000</v>
      </c>
      <c r="U35" s="149">
        <v>2640000</v>
      </c>
      <c r="V35" s="97" t="s">
        <v>442</v>
      </c>
      <c r="W35" s="97" t="s">
        <v>443</v>
      </c>
      <c r="X35" s="97" t="s">
        <v>43</v>
      </c>
    </row>
    <row r="36" spans="1:24" ht="38.25" x14ac:dyDescent="0.25">
      <c r="A36" s="154">
        <v>1116</v>
      </c>
      <c r="B36" s="154">
        <v>11001</v>
      </c>
      <c r="C36" s="96" t="s">
        <v>180</v>
      </c>
      <c r="D36" s="96" t="s">
        <v>181</v>
      </c>
      <c r="E36" s="96">
        <v>1512870.1</v>
      </c>
      <c r="F36" s="96">
        <v>1338074.83</v>
      </c>
      <c r="G36" s="96">
        <v>140293.36000000002</v>
      </c>
      <c r="H36" s="96">
        <v>338311.02</v>
      </c>
      <c r="I36" s="96">
        <v>338311.02</v>
      </c>
      <c r="J36" s="96">
        <v>69623.560000000041</v>
      </c>
      <c r="K36" s="96">
        <v>31648.240000000038</v>
      </c>
      <c r="L36" s="96">
        <v>31648.240000000038</v>
      </c>
      <c r="M36" s="96">
        <v>1762448.5320000001</v>
      </c>
      <c r="N36" s="96">
        <v>1762448.5320000001</v>
      </c>
      <c r="O36" s="96">
        <v>1762448.5320000001</v>
      </c>
      <c r="P36" s="96">
        <v>0</v>
      </c>
      <c r="Q36" s="96">
        <v>0</v>
      </c>
      <c r="R36" s="96">
        <v>0</v>
      </c>
      <c r="S36" s="96">
        <v>1762448.5320000001</v>
      </c>
      <c r="T36" s="96">
        <v>1762448.5320000001</v>
      </c>
      <c r="U36" s="96">
        <v>1762448.5320000001</v>
      </c>
      <c r="V36" s="350">
        <v>2007</v>
      </c>
      <c r="W36" s="96" t="s">
        <v>132</v>
      </c>
      <c r="X36" s="96" t="s">
        <v>43</v>
      </c>
    </row>
    <row r="37" spans="1:24" customFormat="1" ht="55.5" customHeight="1" x14ac:dyDescent="0.25">
      <c r="A37" s="97">
        <v>1116</v>
      </c>
      <c r="B37" s="97">
        <v>11005</v>
      </c>
      <c r="C37" s="97" t="s">
        <v>180</v>
      </c>
      <c r="D37" s="97" t="s">
        <v>225</v>
      </c>
      <c r="E37" s="331">
        <v>294413.09999999998</v>
      </c>
      <c r="F37" s="331">
        <v>499099.5</v>
      </c>
      <c r="G37" s="331">
        <v>-52370.7</v>
      </c>
      <c r="H37" s="331">
        <v>-56770.7</v>
      </c>
      <c r="I37" s="331">
        <v>-52370.7</v>
      </c>
      <c r="J37" s="331">
        <v>0</v>
      </c>
      <c r="K37" s="331">
        <v>0</v>
      </c>
      <c r="L37" s="331">
        <v>0</v>
      </c>
      <c r="M37" s="331">
        <v>242042.4</v>
      </c>
      <c r="N37" s="331">
        <v>237642.4</v>
      </c>
      <c r="O37" s="331">
        <v>242042.4</v>
      </c>
      <c r="P37" s="97">
        <v>0</v>
      </c>
      <c r="Q37" s="97">
        <v>0</v>
      </c>
      <c r="R37" s="97">
        <v>0</v>
      </c>
      <c r="S37" s="331">
        <v>242042.4</v>
      </c>
      <c r="T37" s="331">
        <v>237642.4</v>
      </c>
      <c r="U37" s="331">
        <v>242042.4</v>
      </c>
      <c r="V37" s="97">
        <v>2022</v>
      </c>
      <c r="W37" s="97" t="s">
        <v>132</v>
      </c>
      <c r="X37" s="97" t="s">
        <v>43</v>
      </c>
    </row>
    <row r="38" spans="1:24" customFormat="1" ht="51" x14ac:dyDescent="0.25">
      <c r="A38" s="24">
        <v>1165</v>
      </c>
      <c r="B38" s="24">
        <v>11002</v>
      </c>
      <c r="C38" s="24" t="s">
        <v>653</v>
      </c>
      <c r="D38" s="24" t="s">
        <v>654</v>
      </c>
      <c r="E38" s="96">
        <v>219634.94</v>
      </c>
      <c r="F38" s="96">
        <v>300000</v>
      </c>
      <c r="G38" s="96">
        <v>0</v>
      </c>
      <c r="H38" s="96">
        <v>0</v>
      </c>
      <c r="I38" s="96">
        <v>0</v>
      </c>
      <c r="J38" s="96">
        <f>+S38-E38</f>
        <v>357365.06</v>
      </c>
      <c r="K38" s="96">
        <f>+T38-E38</f>
        <v>448650.76999999996</v>
      </c>
      <c r="L38" s="96">
        <f>+U38-E38</f>
        <v>577079.26</v>
      </c>
      <c r="M38" s="96">
        <v>577000</v>
      </c>
      <c r="N38" s="96">
        <v>668285.71</v>
      </c>
      <c r="O38" s="96">
        <v>796714.2</v>
      </c>
      <c r="P38" s="96">
        <v>0</v>
      </c>
      <c r="Q38" s="96">
        <v>0</v>
      </c>
      <c r="R38" s="96">
        <v>0</v>
      </c>
      <c r="S38" s="96">
        <v>577000</v>
      </c>
      <c r="T38" s="96">
        <v>668285.71</v>
      </c>
      <c r="U38" s="96">
        <v>796714.2</v>
      </c>
      <c r="V38" s="24">
        <v>2022</v>
      </c>
      <c r="W38" s="24">
        <v>2026</v>
      </c>
      <c r="X38" s="24" t="s">
        <v>48</v>
      </c>
    </row>
    <row r="39" spans="1:24" customFormat="1" ht="127.5" x14ac:dyDescent="0.25">
      <c r="A39" s="24">
        <v>1165</v>
      </c>
      <c r="B39" s="24">
        <v>11004</v>
      </c>
      <c r="C39" s="344" t="s">
        <v>785</v>
      </c>
      <c r="D39" s="24" t="s">
        <v>789</v>
      </c>
      <c r="E39" s="96">
        <v>177800</v>
      </c>
      <c r="F39" s="96">
        <v>300000</v>
      </c>
      <c r="G39" s="96">
        <v>20377</v>
      </c>
      <c r="H39" s="96">
        <v>20377</v>
      </c>
      <c r="I39" s="96">
        <v>20377</v>
      </c>
      <c r="J39" s="96">
        <v>101823</v>
      </c>
      <c r="K39" s="96">
        <v>101823</v>
      </c>
      <c r="L39" s="96">
        <v>101823</v>
      </c>
      <c r="M39" s="96">
        <v>300000</v>
      </c>
      <c r="N39" s="96">
        <v>300000</v>
      </c>
      <c r="O39" s="96">
        <v>300000</v>
      </c>
      <c r="P39" s="96">
        <v>0</v>
      </c>
      <c r="Q39" s="96">
        <v>0</v>
      </c>
      <c r="R39" s="96">
        <v>0</v>
      </c>
      <c r="S39" s="96">
        <v>300000</v>
      </c>
      <c r="T39" s="96">
        <v>300000</v>
      </c>
      <c r="U39" s="96">
        <v>300000</v>
      </c>
      <c r="V39" s="24">
        <v>2019</v>
      </c>
      <c r="W39" s="97" t="s">
        <v>132</v>
      </c>
      <c r="X39" s="24" t="s">
        <v>46</v>
      </c>
    </row>
    <row r="40" spans="1:24" customFormat="1" ht="76.5" x14ac:dyDescent="0.25">
      <c r="A40" s="24">
        <v>1165</v>
      </c>
      <c r="B40" s="24">
        <v>11007</v>
      </c>
      <c r="C40" s="24" t="s">
        <v>662</v>
      </c>
      <c r="D40" s="24" t="s">
        <v>663</v>
      </c>
      <c r="E40" s="96">
        <v>0</v>
      </c>
      <c r="F40" s="96">
        <v>500000</v>
      </c>
      <c r="G40" s="96">
        <v>0</v>
      </c>
      <c r="H40" s="96">
        <v>0</v>
      </c>
      <c r="I40" s="96">
        <v>0</v>
      </c>
      <c r="J40" s="96">
        <v>500000</v>
      </c>
      <c r="K40" s="96">
        <v>500000</v>
      </c>
      <c r="L40" s="96">
        <v>500000</v>
      </c>
      <c r="M40" s="96">
        <v>3380000</v>
      </c>
      <c r="N40" s="96">
        <v>3380000</v>
      </c>
      <c r="O40" s="96">
        <v>3380000</v>
      </c>
      <c r="P40" s="96">
        <v>0</v>
      </c>
      <c r="Q40" s="96">
        <v>0</v>
      </c>
      <c r="R40" s="96">
        <v>0</v>
      </c>
      <c r="S40" s="96">
        <v>500000</v>
      </c>
      <c r="T40" s="96">
        <v>500000</v>
      </c>
      <c r="U40" s="96">
        <v>500000</v>
      </c>
      <c r="V40" s="24">
        <v>2022</v>
      </c>
      <c r="W40" s="24">
        <v>2026</v>
      </c>
      <c r="X40" s="24" t="s">
        <v>48</v>
      </c>
    </row>
    <row r="41" spans="1:24" customFormat="1" ht="51" x14ac:dyDescent="0.25">
      <c r="A41" s="24">
        <v>1165</v>
      </c>
      <c r="B41" s="24">
        <v>11008</v>
      </c>
      <c r="C41" s="24" t="s">
        <v>662</v>
      </c>
      <c r="D41" s="24" t="s">
        <v>787</v>
      </c>
      <c r="E41" s="96"/>
      <c r="F41" s="96">
        <v>500000</v>
      </c>
      <c r="G41" s="96"/>
      <c r="H41" s="96"/>
      <c r="I41" s="96"/>
      <c r="J41" s="96"/>
      <c r="K41" s="96"/>
      <c r="L41" s="96"/>
      <c r="M41" s="96"/>
      <c r="N41" s="96"/>
      <c r="O41" s="96"/>
      <c r="P41" s="96"/>
      <c r="Q41" s="96"/>
      <c r="R41" s="96"/>
      <c r="S41" s="96"/>
      <c r="T41" s="96"/>
      <c r="U41" s="96"/>
      <c r="V41" s="24"/>
      <c r="W41" s="24"/>
      <c r="X41" s="24"/>
    </row>
    <row r="42" spans="1:24" customFormat="1" ht="51" x14ac:dyDescent="0.25">
      <c r="A42" s="24">
        <v>1165</v>
      </c>
      <c r="B42" s="24">
        <v>31003</v>
      </c>
      <c r="C42" s="24" t="s">
        <v>670</v>
      </c>
      <c r="D42" s="24" t="s">
        <v>671</v>
      </c>
      <c r="E42" s="96">
        <v>0</v>
      </c>
      <c r="F42" s="96">
        <v>4000000</v>
      </c>
      <c r="G42" s="96">
        <v>0</v>
      </c>
      <c r="H42" s="96">
        <v>0</v>
      </c>
      <c r="I42" s="96">
        <v>0</v>
      </c>
      <c r="J42" s="96">
        <v>4000000</v>
      </c>
      <c r="K42" s="96">
        <v>4000000</v>
      </c>
      <c r="L42" s="96">
        <v>4000000</v>
      </c>
      <c r="M42" s="96">
        <v>4000000</v>
      </c>
      <c r="N42" s="96">
        <v>4000000</v>
      </c>
      <c r="O42" s="96">
        <v>4000000</v>
      </c>
      <c r="P42" s="96">
        <v>0</v>
      </c>
      <c r="Q42" s="96">
        <v>0</v>
      </c>
      <c r="R42" s="96">
        <v>0</v>
      </c>
      <c r="S42" s="96">
        <v>4000000</v>
      </c>
      <c r="T42" s="96">
        <v>4000000</v>
      </c>
      <c r="U42" s="96">
        <v>4000000</v>
      </c>
      <c r="V42" s="24">
        <v>2023</v>
      </c>
      <c r="W42" s="24">
        <v>2026</v>
      </c>
      <c r="X42" s="24" t="s">
        <v>48</v>
      </c>
    </row>
    <row r="43" spans="1:24" customFormat="1" ht="63" x14ac:dyDescent="0.25">
      <c r="A43" s="24">
        <v>1187</v>
      </c>
      <c r="B43" s="24">
        <v>12002</v>
      </c>
      <c r="C43" s="97" t="s">
        <v>505</v>
      </c>
      <c r="D43" s="212" t="s">
        <v>529</v>
      </c>
      <c r="E43" s="96">
        <v>2229421.6</v>
      </c>
      <c r="F43" s="96">
        <v>2443484.7000000002</v>
      </c>
      <c r="G43" s="96">
        <v>0</v>
      </c>
      <c r="H43" s="96">
        <v>0</v>
      </c>
      <c r="I43" s="96">
        <v>0</v>
      </c>
      <c r="J43" s="96">
        <v>265020.95500000002</v>
      </c>
      <c r="K43" s="96">
        <v>252841.74400000001</v>
      </c>
      <c r="L43" s="96">
        <v>100229.731</v>
      </c>
      <c r="M43" s="317">
        <v>2494442.5550000002</v>
      </c>
      <c r="N43" s="317">
        <v>2482263.344</v>
      </c>
      <c r="O43" s="317">
        <v>2329651.3310000002</v>
      </c>
      <c r="P43" s="96">
        <v>0</v>
      </c>
      <c r="Q43" s="96">
        <v>0</v>
      </c>
      <c r="R43" s="96">
        <v>0</v>
      </c>
      <c r="S43" s="317">
        <v>2494442.5550000002</v>
      </c>
      <c r="T43" s="317">
        <v>2482263.344</v>
      </c>
      <c r="U43" s="317">
        <v>2329651.3310000002</v>
      </c>
      <c r="V43" s="181" t="s">
        <v>504</v>
      </c>
      <c r="W43" s="181" t="s">
        <v>528</v>
      </c>
      <c r="X43" s="24" t="s">
        <v>46</v>
      </c>
    </row>
    <row r="44" spans="1:24" customFormat="1" ht="38.25" x14ac:dyDescent="0.25">
      <c r="A44" s="24">
        <v>1187</v>
      </c>
      <c r="B44" s="24">
        <v>12003</v>
      </c>
      <c r="C44" s="24" t="s">
        <v>600</v>
      </c>
      <c r="D44" s="24" t="s">
        <v>601</v>
      </c>
      <c r="E44" s="96">
        <v>707829.7</v>
      </c>
      <c r="F44" s="96">
        <v>633548.1</v>
      </c>
      <c r="G44" s="96">
        <v>0</v>
      </c>
      <c r="H44" s="96">
        <v>0</v>
      </c>
      <c r="I44" s="96">
        <v>0</v>
      </c>
      <c r="J44" s="96">
        <v>136280.1</v>
      </c>
      <c r="K44" s="96">
        <v>89605</v>
      </c>
      <c r="L44" s="96">
        <v>12929</v>
      </c>
      <c r="M44" s="96">
        <v>844109.79999999993</v>
      </c>
      <c r="N44" s="96">
        <v>797434.7</v>
      </c>
      <c r="O44" s="96">
        <v>720758.7</v>
      </c>
      <c r="P44" s="96">
        <v>0</v>
      </c>
      <c r="Q44" s="96">
        <v>0</v>
      </c>
      <c r="R44" s="96">
        <v>0</v>
      </c>
      <c r="S44" s="96">
        <v>844109.79999999993</v>
      </c>
      <c r="T44" s="96">
        <v>797434.7</v>
      </c>
      <c r="U44" s="96">
        <v>720758.7</v>
      </c>
      <c r="V44" s="24" t="s">
        <v>599</v>
      </c>
      <c r="W44" s="24">
        <v>0</v>
      </c>
      <c r="X44" s="24" t="s">
        <v>46</v>
      </c>
    </row>
    <row r="45" spans="1:24" ht="51" x14ac:dyDescent="0.25">
      <c r="A45" s="24">
        <v>1187</v>
      </c>
      <c r="B45" s="24">
        <v>12004</v>
      </c>
      <c r="C45" s="96" t="s">
        <v>326</v>
      </c>
      <c r="D45" s="96" t="s">
        <v>327</v>
      </c>
      <c r="E45" s="96">
        <v>2856112.9</v>
      </c>
      <c r="F45" s="96">
        <v>2004699.8</v>
      </c>
      <c r="G45" s="96">
        <v>1284569.4900000002</v>
      </c>
      <c r="H45" s="96">
        <v>1311767.9300000002</v>
      </c>
      <c r="I45" s="96">
        <v>1085760.6400000001</v>
      </c>
      <c r="J45" s="96">
        <v>0</v>
      </c>
      <c r="K45" s="96">
        <v>0</v>
      </c>
      <c r="L45" s="96">
        <v>0</v>
      </c>
      <c r="M45" s="96">
        <v>4140682.39</v>
      </c>
      <c r="N45" s="96">
        <v>4167880.83</v>
      </c>
      <c r="O45" s="96">
        <v>3941873.54</v>
      </c>
      <c r="P45" s="96">
        <v>0</v>
      </c>
      <c r="Q45" s="96">
        <v>0</v>
      </c>
      <c r="R45" s="96">
        <v>0</v>
      </c>
      <c r="S45" s="96">
        <v>4140682.39</v>
      </c>
      <c r="T45" s="96">
        <v>4167880.83</v>
      </c>
      <c r="U45" s="96">
        <v>3941873.54</v>
      </c>
      <c r="V45" s="96">
        <v>2018</v>
      </c>
      <c r="W45" s="96">
        <v>0</v>
      </c>
      <c r="X45" s="96" t="s">
        <v>46</v>
      </c>
    </row>
    <row r="46" spans="1:24" customFormat="1" ht="76.5" x14ac:dyDescent="0.25">
      <c r="A46" s="24">
        <v>1187</v>
      </c>
      <c r="B46" s="24">
        <v>12005</v>
      </c>
      <c r="C46" s="24" t="s">
        <v>546</v>
      </c>
      <c r="D46" s="24" t="s">
        <v>581</v>
      </c>
      <c r="E46" s="96">
        <v>69375.850000000006</v>
      </c>
      <c r="F46" s="96">
        <v>60857.9</v>
      </c>
      <c r="G46" s="96">
        <v>0</v>
      </c>
      <c r="H46" s="96">
        <v>0</v>
      </c>
      <c r="I46" s="96">
        <v>0</v>
      </c>
      <c r="J46" s="96">
        <v>0</v>
      </c>
      <c r="K46" s="96">
        <v>0</v>
      </c>
      <c r="L46" s="96">
        <v>0</v>
      </c>
      <c r="M46" s="96">
        <v>-24162.6</v>
      </c>
      <c r="N46" s="96">
        <v>-41951.5</v>
      </c>
      <c r="O46" s="96">
        <v>-59740.3</v>
      </c>
      <c r="P46" s="96">
        <v>0</v>
      </c>
      <c r="Q46" s="96">
        <v>0</v>
      </c>
      <c r="R46" s="96">
        <v>0</v>
      </c>
      <c r="S46" s="96">
        <v>45213.3</v>
      </c>
      <c r="T46" s="96">
        <v>27424.400000000001</v>
      </c>
      <c r="U46" s="96">
        <v>9635.6</v>
      </c>
      <c r="V46" s="24">
        <v>2021</v>
      </c>
      <c r="W46" s="24">
        <v>2026</v>
      </c>
      <c r="X46" s="24" t="s">
        <v>132</v>
      </c>
    </row>
    <row r="47" spans="1:24" customFormat="1" ht="63" x14ac:dyDescent="0.25">
      <c r="A47" s="24">
        <v>1187</v>
      </c>
      <c r="B47" s="24">
        <v>12006</v>
      </c>
      <c r="C47" s="213" t="s">
        <v>505</v>
      </c>
      <c r="D47" s="213" t="s">
        <v>507</v>
      </c>
      <c r="E47" s="96">
        <v>25073.9</v>
      </c>
      <c r="F47" s="96">
        <v>20845.5</v>
      </c>
      <c r="G47" s="96">
        <v>0</v>
      </c>
      <c r="H47" s="96">
        <v>0</v>
      </c>
      <c r="I47" s="96">
        <v>0</v>
      </c>
      <c r="J47" s="96">
        <v>-11262.816999999999</v>
      </c>
      <c r="K47" s="96">
        <v>-18210.286</v>
      </c>
      <c r="L47" s="96">
        <v>-20541.683000000001</v>
      </c>
      <c r="M47" s="317">
        <v>13811.030000000002</v>
      </c>
      <c r="N47" s="317">
        <v>6863.5610000000015</v>
      </c>
      <c r="O47" s="317">
        <v>4532.1640000000007</v>
      </c>
      <c r="P47" s="96">
        <v>0</v>
      </c>
      <c r="Q47" s="96">
        <v>0</v>
      </c>
      <c r="R47" s="96">
        <v>0</v>
      </c>
      <c r="S47" s="317">
        <v>13811.030000000002</v>
      </c>
      <c r="T47" s="317">
        <v>6863.5610000000015</v>
      </c>
      <c r="U47" s="317">
        <v>4532.1640000000007</v>
      </c>
      <c r="V47" s="181" t="s">
        <v>504</v>
      </c>
      <c r="W47" s="181" t="s">
        <v>506</v>
      </c>
      <c r="X47" s="24" t="s">
        <v>46</v>
      </c>
    </row>
    <row r="48" spans="1:24" customFormat="1" ht="63.75" x14ac:dyDescent="0.25">
      <c r="A48" s="24">
        <v>1187</v>
      </c>
      <c r="B48" s="24">
        <v>12007</v>
      </c>
      <c r="C48" s="24" t="s">
        <v>546</v>
      </c>
      <c r="D48" s="24" t="s">
        <v>562</v>
      </c>
      <c r="E48" s="96">
        <v>175750</v>
      </c>
      <c r="F48" s="96">
        <v>315000</v>
      </c>
      <c r="G48" s="96">
        <v>0</v>
      </c>
      <c r="H48" s="96">
        <v>0</v>
      </c>
      <c r="I48" s="96">
        <v>0</v>
      </c>
      <c r="J48" s="96">
        <v>-41400</v>
      </c>
      <c r="K48" s="96">
        <v>-41400</v>
      </c>
      <c r="L48" s="96">
        <v>-150450</v>
      </c>
      <c r="M48" s="96">
        <v>134350</v>
      </c>
      <c r="N48" s="96">
        <v>134350</v>
      </c>
      <c r="O48" s="96">
        <v>25300</v>
      </c>
      <c r="P48" s="96">
        <v>0</v>
      </c>
      <c r="Q48" s="96">
        <v>0</v>
      </c>
      <c r="R48" s="96">
        <v>0</v>
      </c>
      <c r="S48" s="96">
        <v>134350</v>
      </c>
      <c r="T48" s="96">
        <v>134350</v>
      </c>
      <c r="U48" s="96">
        <v>25300</v>
      </c>
      <c r="V48" s="24">
        <v>2019</v>
      </c>
      <c r="W48" s="24">
        <v>2026</v>
      </c>
      <c r="X48" s="24" t="s">
        <v>48</v>
      </c>
    </row>
    <row r="49" spans="1:24" customFormat="1" ht="51" x14ac:dyDescent="0.25">
      <c r="A49" s="24">
        <v>1187</v>
      </c>
      <c r="B49" s="24">
        <v>12008</v>
      </c>
      <c r="C49" s="24" t="s">
        <v>326</v>
      </c>
      <c r="D49" s="24" t="s">
        <v>629</v>
      </c>
      <c r="E49" s="96">
        <v>145250.9</v>
      </c>
      <c r="F49" s="96">
        <v>217892.4</v>
      </c>
      <c r="G49" s="96">
        <v>0</v>
      </c>
      <c r="H49" s="96">
        <v>0</v>
      </c>
      <c r="I49" s="96">
        <v>0</v>
      </c>
      <c r="J49" s="96">
        <v>198799.7</v>
      </c>
      <c r="K49" s="96">
        <v>133915.79999999999</v>
      </c>
      <c r="L49" s="96">
        <v>75161.8</v>
      </c>
      <c r="M49" s="96">
        <v>198799.7</v>
      </c>
      <c r="N49" s="96">
        <v>133915.79999999999</v>
      </c>
      <c r="O49" s="96">
        <v>75161.8</v>
      </c>
      <c r="P49" s="96">
        <v>0</v>
      </c>
      <c r="Q49" s="96">
        <v>0</v>
      </c>
      <c r="R49" s="96">
        <v>0</v>
      </c>
      <c r="S49" s="96">
        <v>198799.7</v>
      </c>
      <c r="T49" s="96">
        <v>133915.79999999999</v>
      </c>
      <c r="U49" s="96">
        <v>75161.8</v>
      </c>
      <c r="V49" s="24">
        <v>2019</v>
      </c>
      <c r="W49" s="24">
        <v>2029</v>
      </c>
      <c r="X49" s="24" t="s">
        <v>46</v>
      </c>
    </row>
    <row r="50" spans="1:24" customFormat="1" ht="76.5" x14ac:dyDescent="0.25">
      <c r="A50" s="24">
        <v>1187</v>
      </c>
      <c r="B50" s="24">
        <v>12009</v>
      </c>
      <c r="C50" s="24" t="s">
        <v>546</v>
      </c>
      <c r="D50" s="24" t="s">
        <v>557</v>
      </c>
      <c r="E50" s="96">
        <v>1071317.5</v>
      </c>
      <c r="F50" s="96">
        <v>462500</v>
      </c>
      <c r="G50" s="96">
        <v>0</v>
      </c>
      <c r="H50" s="96">
        <v>0</v>
      </c>
      <c r="I50" s="96">
        <v>0</v>
      </c>
      <c r="J50" s="96">
        <v>-634428.69999999995</v>
      </c>
      <c r="K50" s="96">
        <v>-1112500.1000000001</v>
      </c>
      <c r="L50" s="96">
        <v>-1112500.1000000001</v>
      </c>
      <c r="M50" s="96">
        <v>478071.40000000008</v>
      </c>
      <c r="N50" s="96">
        <v>0</v>
      </c>
      <c r="O50" s="96">
        <v>0</v>
      </c>
      <c r="P50" s="96">
        <v>0</v>
      </c>
      <c r="Q50" s="96">
        <v>0</v>
      </c>
      <c r="R50" s="96">
        <v>0</v>
      </c>
      <c r="S50" s="96">
        <v>478071.40000000008</v>
      </c>
      <c r="T50" s="96">
        <v>0</v>
      </c>
      <c r="U50" s="96">
        <v>0</v>
      </c>
      <c r="V50" s="24">
        <v>2021</v>
      </c>
      <c r="W50" s="24">
        <v>2024</v>
      </c>
      <c r="X50" s="24" t="s">
        <v>48</v>
      </c>
    </row>
    <row r="51" spans="1:24" customFormat="1" ht="51" x14ac:dyDescent="0.25">
      <c r="A51" s="24">
        <v>1187</v>
      </c>
      <c r="B51" s="24">
        <v>12011</v>
      </c>
      <c r="C51" s="24" t="s">
        <v>546</v>
      </c>
      <c r="D51" s="24" t="s">
        <v>578</v>
      </c>
      <c r="E51" s="96">
        <v>358554</v>
      </c>
      <c r="F51" s="96">
        <v>381501.7</v>
      </c>
      <c r="G51" s="96">
        <v>0</v>
      </c>
      <c r="H51" s="96">
        <v>0</v>
      </c>
      <c r="I51" s="96">
        <v>0</v>
      </c>
      <c r="J51" s="96">
        <v>-59759</v>
      </c>
      <c r="K51" s="96">
        <v>-358554</v>
      </c>
      <c r="L51" s="96">
        <v>-358554</v>
      </c>
      <c r="M51" s="96">
        <v>298795</v>
      </c>
      <c r="N51" s="96">
        <v>0</v>
      </c>
      <c r="O51" s="96">
        <v>0</v>
      </c>
      <c r="P51" s="96">
        <v>0</v>
      </c>
      <c r="Q51" s="96">
        <v>0</v>
      </c>
      <c r="R51" s="96">
        <v>0</v>
      </c>
      <c r="S51" s="96">
        <v>298795</v>
      </c>
      <c r="T51" s="96">
        <v>0</v>
      </c>
      <c r="U51" s="96">
        <v>0</v>
      </c>
      <c r="V51" s="24">
        <v>2021</v>
      </c>
      <c r="W51" s="24">
        <v>2025</v>
      </c>
      <c r="X51" s="24" t="s">
        <v>48</v>
      </c>
    </row>
    <row r="52" spans="1:24" customFormat="1" ht="63.75" x14ac:dyDescent="0.25">
      <c r="A52" s="24">
        <v>1187</v>
      </c>
      <c r="B52" s="24">
        <v>12012</v>
      </c>
      <c r="C52" s="24" t="s">
        <v>326</v>
      </c>
      <c r="D52" s="24" t="s">
        <v>645</v>
      </c>
      <c r="E52" s="96">
        <v>19860</v>
      </c>
      <c r="F52" s="96">
        <v>89517.9</v>
      </c>
      <c r="G52" s="96">
        <v>0</v>
      </c>
      <c r="H52" s="96">
        <v>0</v>
      </c>
      <c r="I52" s="96">
        <v>0</v>
      </c>
      <c r="J52" s="96">
        <v>50612.6</v>
      </c>
      <c r="K52" s="96">
        <v>29666.7</v>
      </c>
      <c r="L52" s="96">
        <v>9958.2999999999993</v>
      </c>
      <c r="M52" s="96">
        <v>50612.6</v>
      </c>
      <c r="N52" s="96">
        <v>29666.7</v>
      </c>
      <c r="O52" s="96">
        <v>9958.2999999999993</v>
      </c>
      <c r="P52" s="96">
        <v>0</v>
      </c>
      <c r="Q52" s="96">
        <v>0</v>
      </c>
      <c r="R52" s="96">
        <v>0</v>
      </c>
      <c r="S52" s="96">
        <v>50612.6</v>
      </c>
      <c r="T52" s="96">
        <v>29666.7</v>
      </c>
      <c r="U52" s="96">
        <v>9958.2999999999993</v>
      </c>
      <c r="V52" s="24" t="s">
        <v>643</v>
      </c>
      <c r="W52" s="24" t="s">
        <v>644</v>
      </c>
      <c r="X52" s="24" t="s">
        <v>46</v>
      </c>
    </row>
    <row r="53" spans="1:24" customFormat="1" ht="51" x14ac:dyDescent="0.25">
      <c r="A53" s="24">
        <v>1187</v>
      </c>
      <c r="B53" s="24">
        <v>12013</v>
      </c>
      <c r="C53" s="24" t="s">
        <v>546</v>
      </c>
      <c r="D53" s="24" t="s">
        <v>573</v>
      </c>
      <c r="E53" s="96">
        <v>7141</v>
      </c>
      <c r="F53" s="96">
        <v>20700</v>
      </c>
      <c r="G53" s="96">
        <v>0</v>
      </c>
      <c r="H53" s="96">
        <v>0</v>
      </c>
      <c r="I53" s="96">
        <v>0</v>
      </c>
      <c r="J53" s="96">
        <v>0</v>
      </c>
      <c r="K53" s="96">
        <v>-7141</v>
      </c>
      <c r="L53" s="96">
        <v>-7141</v>
      </c>
      <c r="M53" s="96">
        <v>7141</v>
      </c>
      <c r="N53" s="96"/>
      <c r="O53" s="96"/>
      <c r="P53" s="96">
        <v>0</v>
      </c>
      <c r="Q53" s="96">
        <v>0</v>
      </c>
      <c r="R53" s="96">
        <v>0</v>
      </c>
      <c r="S53" s="96">
        <v>7141</v>
      </c>
      <c r="T53" s="96"/>
      <c r="U53" s="96"/>
      <c r="V53" s="24">
        <v>2019</v>
      </c>
      <c r="W53" s="24">
        <v>2024</v>
      </c>
      <c r="X53" s="24" t="s">
        <v>48</v>
      </c>
    </row>
    <row r="54" spans="1:24" customFormat="1" ht="84" x14ac:dyDescent="0.25">
      <c r="A54" s="24">
        <v>1187</v>
      </c>
      <c r="B54" s="24">
        <v>12014</v>
      </c>
      <c r="C54" s="97" t="s">
        <v>505</v>
      </c>
      <c r="D54" s="212" t="s">
        <v>520</v>
      </c>
      <c r="E54" s="96">
        <f>+'1187-12014'!C38</f>
        <v>4118504.898</v>
      </c>
      <c r="F54" s="96">
        <f>+'1187-12014'!D38</f>
        <v>5400685.9000000004</v>
      </c>
      <c r="G54" s="96">
        <f>+'1187-12014'!E38</f>
        <v>0</v>
      </c>
      <c r="H54" s="96">
        <f>+'1187-12014'!F38</f>
        <v>0</v>
      </c>
      <c r="I54" s="96">
        <f>+'1187-12014'!G38</f>
        <v>0</v>
      </c>
      <c r="J54" s="96">
        <f>+'1187-12014'!H38</f>
        <v>3949688.7719999999</v>
      </c>
      <c r="K54" s="96">
        <f>+'1187-12014'!I38</f>
        <v>3940358.7019999996</v>
      </c>
      <c r="L54" s="96">
        <f>+'1187-12014'!J38</f>
        <v>3891781.4019999998</v>
      </c>
      <c r="M54" s="96">
        <f>+'1187-12014'!K38</f>
        <v>8068193.6699999999</v>
      </c>
      <c r="N54" s="96">
        <f>+'1187-12014'!L38</f>
        <v>8058863.5999999996</v>
      </c>
      <c r="O54" s="96">
        <f>+'1187-12014'!M38</f>
        <v>8010286.2999999998</v>
      </c>
      <c r="P54" s="96">
        <f>+'1187-12014'!N38</f>
        <v>0</v>
      </c>
      <c r="Q54" s="96">
        <f>+'1187-12014'!O38</f>
        <v>0</v>
      </c>
      <c r="R54" s="96">
        <f>+'1187-12014'!P38</f>
        <v>0</v>
      </c>
      <c r="S54" s="96">
        <f>+'1187-12014'!Q38</f>
        <v>8068193.6699999999</v>
      </c>
      <c r="T54" s="96">
        <f>+'1187-12014'!R38</f>
        <v>8058863.5999999996</v>
      </c>
      <c r="U54" s="96">
        <f>+'1187-12014'!S38</f>
        <v>8010286.2999999998</v>
      </c>
      <c r="V54" s="181" t="s">
        <v>506</v>
      </c>
      <c r="W54" s="181" t="s">
        <v>519</v>
      </c>
      <c r="X54" s="24" t="s">
        <v>46</v>
      </c>
    </row>
    <row r="55" spans="1:24" customFormat="1" ht="51" x14ac:dyDescent="0.25">
      <c r="A55" s="24">
        <v>1187</v>
      </c>
      <c r="B55" s="24">
        <v>12015</v>
      </c>
      <c r="C55" s="24" t="s">
        <v>546</v>
      </c>
      <c r="D55" s="24" t="s">
        <v>547</v>
      </c>
      <c r="E55" s="96">
        <v>396862.5</v>
      </c>
      <c r="F55" s="96">
        <v>713682.3</v>
      </c>
      <c r="G55" s="96">
        <v>-137966</v>
      </c>
      <c r="H55" s="96">
        <v>-137966</v>
      </c>
      <c r="I55" s="96">
        <v>-137966</v>
      </c>
      <c r="J55" s="96">
        <v>3583530.1</v>
      </c>
      <c r="K55" s="96">
        <v>3583530.1</v>
      </c>
      <c r="L55" s="96">
        <v>506172.6</v>
      </c>
      <c r="M55" s="96">
        <v>3842426.7</v>
      </c>
      <c r="N55" s="96">
        <v>3842426.7</v>
      </c>
      <c r="O55" s="96">
        <v>765069.20000000007</v>
      </c>
      <c r="P55" s="96">
        <v>0</v>
      </c>
      <c r="Q55" s="96">
        <v>0</v>
      </c>
      <c r="R55" s="96">
        <v>0</v>
      </c>
      <c r="S55" s="96">
        <v>3842426.7</v>
      </c>
      <c r="T55" s="96">
        <v>3842426.7</v>
      </c>
      <c r="U55" s="96">
        <v>765069.20000000007</v>
      </c>
      <c r="V55" s="24">
        <v>2021</v>
      </c>
      <c r="W55" s="24">
        <v>2026</v>
      </c>
      <c r="X55" s="24" t="s">
        <v>48</v>
      </c>
    </row>
    <row r="56" spans="1:24" customFormat="1" ht="108.75" customHeight="1" x14ac:dyDescent="0.25">
      <c r="A56" s="24">
        <v>1190</v>
      </c>
      <c r="B56" s="24">
        <v>11001</v>
      </c>
      <c r="C56" s="24" t="s">
        <v>751</v>
      </c>
      <c r="D56" s="24" t="s">
        <v>752</v>
      </c>
      <c r="E56" s="96">
        <v>131363.6</v>
      </c>
      <c r="F56" s="96">
        <v>147356.4</v>
      </c>
      <c r="G56" s="96">
        <v>22489.650000000005</v>
      </c>
      <c r="H56" s="96">
        <v>22278.775000000005</v>
      </c>
      <c r="I56" s="96">
        <v>23431.821999999996</v>
      </c>
      <c r="J56" s="96">
        <v>0</v>
      </c>
      <c r="K56" s="96">
        <v>0</v>
      </c>
      <c r="L56" s="96">
        <v>0</v>
      </c>
      <c r="M56" s="96">
        <v>153853.37599999999</v>
      </c>
      <c r="N56" s="96">
        <v>153642.50099999999</v>
      </c>
      <c r="O56" s="96">
        <v>154795.54799999998</v>
      </c>
      <c r="P56" s="96">
        <v>0</v>
      </c>
      <c r="Q56" s="96">
        <v>0</v>
      </c>
      <c r="R56" s="96">
        <v>0</v>
      </c>
      <c r="S56" s="96">
        <v>153749.67600000001</v>
      </c>
      <c r="T56" s="96">
        <v>153642.50099999999</v>
      </c>
      <c r="U56" s="96">
        <v>154795.54799999998</v>
      </c>
      <c r="V56" s="24">
        <v>0</v>
      </c>
      <c r="W56" s="24" t="s">
        <v>132</v>
      </c>
      <c r="X56" s="24" t="s">
        <v>43</v>
      </c>
    </row>
    <row r="57" spans="1:24" ht="60" customHeight="1" x14ac:dyDescent="0.25">
      <c r="A57" s="24">
        <v>1190</v>
      </c>
      <c r="B57" s="24">
        <v>11002</v>
      </c>
      <c r="C57" s="96" t="s">
        <v>466</v>
      </c>
      <c r="D57" s="96" t="s">
        <v>467</v>
      </c>
      <c r="E57" s="96">
        <v>169152.48</v>
      </c>
      <c r="F57" s="96">
        <v>1000000</v>
      </c>
      <c r="G57" s="96">
        <v>298500</v>
      </c>
      <c r="H57" s="96">
        <v>298500</v>
      </c>
      <c r="I57" s="96">
        <v>319500</v>
      </c>
      <c r="J57" s="96">
        <v>701500</v>
      </c>
      <c r="K57" s="96">
        <v>1001500</v>
      </c>
      <c r="L57" s="96">
        <v>1180500</v>
      </c>
      <c r="M57" s="96">
        <v>2000000</v>
      </c>
      <c r="N57" s="96">
        <v>2300000</v>
      </c>
      <c r="O57" s="96">
        <v>2500000</v>
      </c>
      <c r="P57" s="96">
        <v>0</v>
      </c>
      <c r="Q57" s="96">
        <v>0</v>
      </c>
      <c r="R57" s="96">
        <v>0</v>
      </c>
      <c r="S57" s="96">
        <v>2000000</v>
      </c>
      <c r="T57" s="96">
        <v>2300000</v>
      </c>
      <c r="U57" s="96">
        <v>2500000</v>
      </c>
      <c r="V57" s="96" t="s">
        <v>357</v>
      </c>
      <c r="W57" s="96">
        <v>0</v>
      </c>
      <c r="X57" s="96" t="s">
        <v>46</v>
      </c>
    </row>
    <row r="58" spans="1:24" ht="60" customHeight="1" x14ac:dyDescent="0.25">
      <c r="A58" s="24">
        <v>1190</v>
      </c>
      <c r="B58" s="24">
        <v>11004</v>
      </c>
      <c r="C58" s="96" t="s">
        <v>466</v>
      </c>
      <c r="D58" s="96" t="s">
        <v>786</v>
      </c>
      <c r="E58" s="96">
        <v>45474.82</v>
      </c>
      <c r="F58" s="96">
        <v>73914.3</v>
      </c>
      <c r="G58" s="96">
        <v>41970.579999999994</v>
      </c>
      <c r="H58" s="96">
        <v>0</v>
      </c>
      <c r="I58" s="96">
        <v>0</v>
      </c>
      <c r="J58" s="96">
        <v>0</v>
      </c>
      <c r="K58" s="96">
        <v>0</v>
      </c>
      <c r="L58" s="96">
        <v>0</v>
      </c>
      <c r="M58" s="96">
        <v>87445.4</v>
      </c>
      <c r="N58" s="96">
        <v>0</v>
      </c>
      <c r="O58" s="96">
        <v>0</v>
      </c>
      <c r="P58" s="96">
        <v>0</v>
      </c>
      <c r="Q58" s="96">
        <v>0</v>
      </c>
      <c r="R58" s="96">
        <v>0</v>
      </c>
      <c r="S58" s="96">
        <v>87445.4</v>
      </c>
      <c r="T58" s="96">
        <v>0</v>
      </c>
      <c r="U58" s="96">
        <v>0</v>
      </c>
      <c r="V58" s="96"/>
      <c r="W58" s="96"/>
      <c r="X58" s="96"/>
    </row>
    <row r="59" spans="1:24" customFormat="1" ht="159" customHeight="1" x14ac:dyDescent="0.25">
      <c r="A59" s="24">
        <v>1190</v>
      </c>
      <c r="B59" s="24">
        <v>12001</v>
      </c>
      <c r="C59" s="24" t="s">
        <v>751</v>
      </c>
      <c r="D59" s="24" t="s">
        <v>756</v>
      </c>
      <c r="E59" s="320">
        <v>1977416.4</v>
      </c>
      <c r="F59" s="320">
        <v>6283748.2000000002</v>
      </c>
      <c r="G59" s="320">
        <v>4350424.5999999996</v>
      </c>
      <c r="H59" s="320">
        <v>-1733457.2999999998</v>
      </c>
      <c r="I59" s="320">
        <v>0</v>
      </c>
      <c r="J59" s="320">
        <v>0</v>
      </c>
      <c r="K59" s="320">
        <v>0</v>
      </c>
      <c r="L59" s="320">
        <v>0</v>
      </c>
      <c r="M59" s="320">
        <v>6327841</v>
      </c>
      <c r="N59" s="320">
        <v>243959.1</v>
      </c>
      <c r="O59" s="320">
        <v>0</v>
      </c>
      <c r="P59" s="320">
        <v>0</v>
      </c>
      <c r="Q59" s="320">
        <v>0</v>
      </c>
      <c r="R59" s="320">
        <v>0</v>
      </c>
      <c r="S59" s="320">
        <v>6327841</v>
      </c>
      <c r="T59" s="320">
        <v>243959.1</v>
      </c>
      <c r="U59" s="320">
        <v>0</v>
      </c>
      <c r="V59" s="24">
        <v>0</v>
      </c>
      <c r="W59" s="24">
        <v>0</v>
      </c>
      <c r="X59" s="24" t="s">
        <v>43</v>
      </c>
    </row>
    <row r="60" spans="1:24" s="318" customFormat="1" ht="27.75" customHeight="1" x14ac:dyDescent="0.2">
      <c r="A60" s="354" t="s">
        <v>74</v>
      </c>
      <c r="B60" s="355"/>
      <c r="C60" s="355"/>
      <c r="D60" s="356"/>
      <c r="E60" s="319">
        <f t="shared" ref="E60:U60" si="1">SUM(E8:E59)</f>
        <v>40551221.627999999</v>
      </c>
      <c r="F60" s="319">
        <f t="shared" si="1"/>
        <v>61353360.816999987</v>
      </c>
      <c r="G60" s="319">
        <f t="shared" si="1"/>
        <v>9218373.6089189984</v>
      </c>
      <c r="H60" s="319">
        <f t="shared" si="1"/>
        <v>337795.98038300057</v>
      </c>
      <c r="I60" s="319">
        <f t="shared" si="1"/>
        <v>2340489.5424710009</v>
      </c>
      <c r="J60" s="319">
        <f t="shared" si="1"/>
        <v>32319860.437140997</v>
      </c>
      <c r="K60" s="319">
        <f t="shared" si="1"/>
        <v>30728714.720140997</v>
      </c>
      <c r="L60" s="319">
        <f t="shared" si="1"/>
        <v>24698115.999141</v>
      </c>
      <c r="M60" s="319">
        <f t="shared" si="1"/>
        <v>94015224.436060011</v>
      </c>
      <c r="N60" s="319">
        <f t="shared" si="1"/>
        <v>81313541.950523987</v>
      </c>
      <c r="O60" s="319">
        <f t="shared" si="1"/>
        <v>69835881.591611981</v>
      </c>
      <c r="P60" s="319">
        <f t="shared" si="1"/>
        <v>0</v>
      </c>
      <c r="Q60" s="319">
        <f t="shared" si="1"/>
        <v>0</v>
      </c>
      <c r="R60" s="319">
        <f t="shared" si="1"/>
        <v>0</v>
      </c>
      <c r="S60" s="319">
        <f t="shared" si="1"/>
        <v>91135877.036059991</v>
      </c>
      <c r="T60" s="319">
        <f t="shared" si="1"/>
        <v>78502917.850523978</v>
      </c>
      <c r="U60" s="319">
        <f t="shared" si="1"/>
        <v>67025257.491611995</v>
      </c>
      <c r="V60" s="319" t="s">
        <v>72</v>
      </c>
      <c r="W60" s="319" t="s">
        <v>72</v>
      </c>
      <c r="X60" s="319" t="s">
        <v>72</v>
      </c>
    </row>
    <row r="63" spans="1:24" x14ac:dyDescent="0.25">
      <c r="A63" s="155" t="s">
        <v>75</v>
      </c>
      <c r="B63" s="155"/>
      <c r="C63" s="150"/>
      <c r="D63" s="150"/>
    </row>
    <row r="64" spans="1:24" x14ac:dyDescent="0.25">
      <c r="A64" s="156" t="s">
        <v>77</v>
      </c>
    </row>
  </sheetData>
  <autoFilter ref="A7:X59" xr:uid="{00000000-0001-0000-0000-000000000000}"/>
  <mergeCells count="12">
    <mergeCell ref="X6:X7"/>
    <mergeCell ref="A6:B6"/>
    <mergeCell ref="C6:D6"/>
    <mergeCell ref="M6:O6"/>
    <mergeCell ref="A60:D60"/>
    <mergeCell ref="V6:V7"/>
    <mergeCell ref="W6:W7"/>
    <mergeCell ref="E6:F6"/>
    <mergeCell ref="G6:I6"/>
    <mergeCell ref="J6:L6"/>
    <mergeCell ref="P6:R6"/>
    <mergeCell ref="S6:U6"/>
  </mergeCells>
  <phoneticPr fontId="46" type="noConversion"/>
  <hyperlinks>
    <hyperlink ref="B40" location="_ftn1" display="_ftn1" xr:uid="{00000000-0004-0000-0100-000000000000}"/>
    <hyperlink ref="C40" location="_ftn2" display="_ftn2" xr:uid="{00000000-0004-0000-0100-000001000000}"/>
    <hyperlink ref="D40" location="_ftn3" display="_ftn3" xr:uid="{00000000-0004-0000-0100-000002000000}"/>
    <hyperlink ref="C41" location="_ftn2" display="_ftn2" xr:uid="{F6AC528C-231E-418E-8AF3-EC3C8B9EE27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D741F-5EBA-4E1A-8280-5824E36B588D}">
  <dimension ref="A1:W40"/>
  <sheetViews>
    <sheetView topLeftCell="E1" zoomScale="93" zoomScaleNormal="93" workbookViewId="0">
      <selection activeCell="G13" sqref="G13"/>
    </sheetView>
  </sheetViews>
  <sheetFormatPr defaultRowHeight="15" x14ac:dyDescent="0.25"/>
  <cols>
    <col min="1" max="1" width="6" customWidth="1"/>
    <col min="2" max="2" width="33.140625" customWidth="1"/>
    <col min="3" max="3" width="24.85546875" customWidth="1"/>
    <col min="4" max="4" width="31.5703125" customWidth="1"/>
    <col min="5" max="5" width="40.28515625" customWidth="1"/>
    <col min="6" max="6" width="28.42578125" customWidth="1"/>
    <col min="7" max="7" width="22.28515625" customWidth="1"/>
    <col min="8" max="8" width="15.28515625" customWidth="1"/>
    <col min="9" max="9" width="10.42578125" customWidth="1"/>
    <col min="10" max="10" width="16.42578125" customWidth="1"/>
    <col min="11" max="11" width="35.28515625" customWidth="1"/>
    <col min="12" max="12" width="24.7109375" customWidth="1"/>
    <col min="13" max="13" width="12.5703125" customWidth="1"/>
    <col min="14" max="14" width="9.5703125" customWidth="1"/>
    <col min="15" max="15" width="8.140625" customWidth="1"/>
    <col min="16" max="16" width="8"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1022</v>
      </c>
      <c r="E5" s="25" t="s">
        <v>83</v>
      </c>
      <c r="F5" s="20">
        <v>2020</v>
      </c>
      <c r="H5" s="3"/>
      <c r="I5" s="3"/>
      <c r="J5" s="3"/>
    </row>
    <row r="6" spans="1:23" ht="28.5" x14ac:dyDescent="0.25">
      <c r="B6" s="25" t="s">
        <v>80</v>
      </c>
      <c r="C6" s="29" t="s">
        <v>103</v>
      </c>
      <c r="E6" s="25" t="s">
        <v>84</v>
      </c>
      <c r="F6" s="20">
        <v>2025</v>
      </c>
      <c r="H6" s="3"/>
      <c r="I6" s="3"/>
      <c r="J6" s="3"/>
    </row>
    <row r="7" spans="1:23" ht="18" customHeight="1" x14ac:dyDescent="0.25">
      <c r="B7" s="25" t="s">
        <v>81</v>
      </c>
      <c r="C7" s="20">
        <v>12012</v>
      </c>
      <c r="H7" s="3"/>
      <c r="I7" s="3"/>
      <c r="J7" s="3"/>
    </row>
    <row r="8" spans="1:23" ht="38.25" customHeight="1" x14ac:dyDescent="0.25">
      <c r="B8" s="25" t="s">
        <v>82</v>
      </c>
      <c r="C8" s="29" t="s">
        <v>302</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121.5" x14ac:dyDescent="0.3">
      <c r="B13" s="131" t="s">
        <v>46</v>
      </c>
      <c r="C13" s="132" t="s">
        <v>303</v>
      </c>
      <c r="D13" s="132" t="s">
        <v>304</v>
      </c>
      <c r="E13" s="132" t="s">
        <v>305</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2" ht="15" customHeight="1" x14ac:dyDescent="0.25">
      <c r="B17" s="365" t="s">
        <v>89</v>
      </c>
      <c r="C17" s="365" t="s">
        <v>90</v>
      </c>
      <c r="D17" s="365" t="s">
        <v>91</v>
      </c>
      <c r="E17" s="365" t="s">
        <v>92</v>
      </c>
      <c r="F17" s="364" t="s">
        <v>93</v>
      </c>
      <c r="G17" s="364"/>
      <c r="H17" s="364"/>
      <c r="I17" s="364"/>
      <c r="J17" s="364"/>
      <c r="K17" s="364" t="s">
        <v>94</v>
      </c>
    </row>
    <row r="18" spans="1:12" x14ac:dyDescent="0.25">
      <c r="B18" s="365"/>
      <c r="C18" s="365"/>
      <c r="D18" s="365"/>
      <c r="E18" s="365"/>
      <c r="F18" s="27" t="s">
        <v>51</v>
      </c>
      <c r="G18" s="27" t="s">
        <v>52</v>
      </c>
      <c r="H18" s="27" t="s">
        <v>0</v>
      </c>
      <c r="I18" s="27" t="s">
        <v>1</v>
      </c>
      <c r="J18" s="27" t="s">
        <v>3</v>
      </c>
      <c r="K18" s="364"/>
    </row>
    <row r="19" spans="1:12" ht="148.5" x14ac:dyDescent="0.25">
      <c r="B19" s="133" t="s">
        <v>306</v>
      </c>
      <c r="C19" s="134" t="s">
        <v>307</v>
      </c>
      <c r="D19" s="21" t="s">
        <v>47</v>
      </c>
      <c r="E19" s="337" t="s">
        <v>308</v>
      </c>
      <c r="F19" s="134" t="s">
        <v>309</v>
      </c>
      <c r="G19" s="134" t="s">
        <v>310</v>
      </c>
      <c r="H19" s="134" t="s">
        <v>310</v>
      </c>
      <c r="I19" s="134" t="s">
        <v>310</v>
      </c>
      <c r="J19" s="134"/>
      <c r="K19" s="54" t="s">
        <v>311</v>
      </c>
      <c r="L19" s="135"/>
    </row>
    <row r="20" spans="1:12" ht="17.25" x14ac:dyDescent="0.25">
      <c r="B20" s="3"/>
      <c r="C20" s="3"/>
      <c r="D20" s="3"/>
      <c r="E20" s="3"/>
      <c r="F20" s="3"/>
      <c r="G20" s="3"/>
      <c r="I20" s="3"/>
      <c r="J20" s="3"/>
    </row>
    <row r="21" spans="1:12" ht="15.75" x14ac:dyDescent="0.25">
      <c r="A21" s="12" t="s">
        <v>53</v>
      </c>
      <c r="C21" s="13"/>
      <c r="D21" s="13"/>
      <c r="E21" s="13"/>
      <c r="F21" s="13"/>
      <c r="G21" s="13"/>
      <c r="H21" s="13"/>
      <c r="I21" s="13"/>
      <c r="J21" s="13"/>
    </row>
    <row r="22" spans="1:12" x14ac:dyDescent="0.25">
      <c r="A22" s="14"/>
      <c r="C22" s="15"/>
      <c r="D22" s="15"/>
      <c r="E22" s="15"/>
    </row>
    <row r="23" spans="1:12" x14ac:dyDescent="0.25">
      <c r="A23" s="16" t="s">
        <v>54</v>
      </c>
      <c r="C23" s="17"/>
      <c r="D23" s="17"/>
      <c r="E23" s="13"/>
      <c r="F23" s="13"/>
      <c r="G23" s="13"/>
      <c r="H23" s="13"/>
      <c r="I23" s="13"/>
      <c r="J23" s="13"/>
    </row>
    <row r="24" spans="1:12" x14ac:dyDescent="0.25">
      <c r="B24" s="17"/>
      <c r="C24" s="17"/>
      <c r="D24" s="17"/>
      <c r="E24" s="13"/>
      <c r="F24" s="13"/>
      <c r="G24" s="13"/>
      <c r="H24" s="13"/>
      <c r="I24" s="13"/>
      <c r="J24" s="13"/>
    </row>
    <row r="25" spans="1:12" x14ac:dyDescent="0.25">
      <c r="B25" s="17"/>
      <c r="C25" s="17"/>
      <c r="D25" s="17"/>
      <c r="E25" s="13"/>
      <c r="F25" s="13"/>
      <c r="G25" s="13"/>
      <c r="H25" s="13"/>
      <c r="I25" s="13"/>
      <c r="J25" s="13"/>
    </row>
    <row r="26" spans="1:12" x14ac:dyDescent="0.25">
      <c r="B26" s="17"/>
      <c r="C26" s="17"/>
      <c r="D26" s="17"/>
      <c r="E26" s="13"/>
      <c r="F26" s="13"/>
      <c r="G26" s="13"/>
      <c r="H26" s="13"/>
      <c r="I26" s="13"/>
      <c r="J26" s="13"/>
    </row>
    <row r="27" spans="1:12" x14ac:dyDescent="0.25">
      <c r="B27" s="17"/>
      <c r="C27" s="17"/>
      <c r="D27" s="17"/>
      <c r="E27" s="13"/>
      <c r="F27" s="13"/>
      <c r="G27" s="13"/>
      <c r="H27" s="13"/>
      <c r="I27" s="13"/>
      <c r="J27" s="13"/>
    </row>
    <row r="28" spans="1:12" x14ac:dyDescent="0.25">
      <c r="A28" s="16" t="s">
        <v>55</v>
      </c>
      <c r="E28" s="13"/>
      <c r="F28" s="13"/>
      <c r="G28" s="13"/>
      <c r="H28" s="13"/>
      <c r="I28" s="13"/>
      <c r="J28" s="13"/>
    </row>
    <row r="29" spans="1:12" x14ac:dyDescent="0.25">
      <c r="B29" s="360"/>
      <c r="C29" s="361"/>
      <c r="D29" s="361"/>
      <c r="E29" s="362"/>
      <c r="F29" s="13"/>
      <c r="G29" s="13"/>
      <c r="H29" s="13"/>
      <c r="I29" s="13"/>
      <c r="J29" s="13"/>
    </row>
    <row r="30" spans="1:12" ht="17.25" x14ac:dyDescent="0.25">
      <c r="B30" s="3"/>
      <c r="C30" s="3"/>
      <c r="D30" s="3"/>
      <c r="E30" s="13"/>
      <c r="F30" s="13"/>
      <c r="G30" s="13"/>
      <c r="H30" s="13"/>
      <c r="I30" s="13"/>
      <c r="J30" s="13"/>
    </row>
    <row r="31" spans="1:12" x14ac:dyDescent="0.25">
      <c r="A31" s="7" t="s">
        <v>56</v>
      </c>
    </row>
    <row r="33" spans="2:19" ht="43.5" customHeight="1" x14ac:dyDescent="0.25">
      <c r="B33" s="363" t="s">
        <v>95</v>
      </c>
      <c r="C33" s="4" t="s">
        <v>96</v>
      </c>
      <c r="D33" s="4" t="s">
        <v>97</v>
      </c>
      <c r="E33" s="358" t="s">
        <v>98</v>
      </c>
      <c r="F33" s="358"/>
      <c r="G33" s="358"/>
      <c r="H33" s="358" t="s">
        <v>99</v>
      </c>
      <c r="I33" s="358"/>
      <c r="J33" s="358"/>
      <c r="K33" s="358" t="s">
        <v>100</v>
      </c>
      <c r="L33" s="358"/>
      <c r="M33" s="358"/>
      <c r="N33" s="358" t="s">
        <v>101</v>
      </c>
      <c r="O33" s="358"/>
      <c r="P33" s="358"/>
      <c r="Q33" s="359" t="s">
        <v>102</v>
      </c>
      <c r="R33" s="359"/>
      <c r="S33" s="359"/>
    </row>
    <row r="34" spans="2:19" ht="30" customHeight="1" x14ac:dyDescent="0.25">
      <c r="B34" s="363"/>
      <c r="C34" s="4" t="s">
        <v>35</v>
      </c>
      <c r="D34" s="4" t="s">
        <v>36</v>
      </c>
      <c r="E34" s="19" t="s">
        <v>0</v>
      </c>
      <c r="F34" s="19" t="s">
        <v>1</v>
      </c>
      <c r="G34" s="19" t="s">
        <v>3</v>
      </c>
      <c r="H34" s="19" t="s">
        <v>0</v>
      </c>
      <c r="I34" s="19" t="s">
        <v>1</v>
      </c>
      <c r="J34" s="19" t="s">
        <v>3</v>
      </c>
      <c r="K34" s="19" t="s">
        <v>39</v>
      </c>
      <c r="L34" s="19" t="s">
        <v>38</v>
      </c>
      <c r="M34" s="19" t="s">
        <v>37</v>
      </c>
      <c r="N34" s="19" t="s">
        <v>39</v>
      </c>
      <c r="O34" s="19" t="s">
        <v>38</v>
      </c>
      <c r="P34" s="19" t="s">
        <v>37</v>
      </c>
      <c r="Q34" s="26" t="s">
        <v>0</v>
      </c>
      <c r="R34" s="26" t="s">
        <v>1</v>
      </c>
      <c r="S34" s="26" t="s">
        <v>3</v>
      </c>
    </row>
    <row r="35" spans="2:19" ht="48" customHeight="1" x14ac:dyDescent="0.25">
      <c r="B35" s="22" t="s">
        <v>312</v>
      </c>
      <c r="C35" s="342">
        <v>574550</v>
      </c>
      <c r="D35" s="342">
        <v>1000000</v>
      </c>
      <c r="E35" s="136"/>
      <c r="F35" s="136"/>
      <c r="G35" s="136"/>
      <c r="H35" s="136">
        <v>425450</v>
      </c>
      <c r="I35" s="136">
        <v>425450</v>
      </c>
      <c r="J35" s="136"/>
      <c r="K35" s="343">
        <f>C35+E35+H35</f>
        <v>1000000</v>
      </c>
      <c r="L35" s="343">
        <f>C35+F35+I35</f>
        <v>1000000</v>
      </c>
      <c r="M35" s="343"/>
      <c r="N35" s="23"/>
      <c r="O35" s="23"/>
      <c r="P35" s="23"/>
      <c r="Q35" s="26">
        <f>K35+N35</f>
        <v>1000000</v>
      </c>
      <c r="R35" s="26">
        <f>L35+O35</f>
        <v>1000000</v>
      </c>
      <c r="S35" s="26">
        <f>M35+P35</f>
        <v>0</v>
      </c>
    </row>
    <row r="36" spans="2:19" ht="48" customHeight="1" x14ac:dyDescent="0.25">
      <c r="B36" s="18" t="s">
        <v>73</v>
      </c>
      <c r="C36" s="22"/>
      <c r="D36" s="22"/>
      <c r="E36" s="19"/>
      <c r="F36" s="19">
        <f>SUM(F35:F35)</f>
        <v>0</v>
      </c>
      <c r="G36" s="19">
        <f>SUM(G35:G35)</f>
        <v>0</v>
      </c>
      <c r="H36" s="19">
        <f>SUM(H35:H35)</f>
        <v>425450</v>
      </c>
      <c r="I36" s="19">
        <f>SUM(I35:I35)</f>
        <v>425450</v>
      </c>
      <c r="J36" s="19">
        <f>SUM(J35:J35)</f>
        <v>0</v>
      </c>
      <c r="K36" s="19">
        <f>C36+E36+H36</f>
        <v>425450</v>
      </c>
      <c r="L36" s="19">
        <f>C36+F36+I36</f>
        <v>425450</v>
      </c>
      <c r="M36" s="19">
        <f>C36+G36+J36</f>
        <v>0</v>
      </c>
      <c r="N36" s="4" t="s">
        <v>2</v>
      </c>
      <c r="O36" s="4" t="s">
        <v>2</v>
      </c>
      <c r="P36" s="4" t="s">
        <v>2</v>
      </c>
      <c r="Q36" s="26" t="s">
        <v>2</v>
      </c>
      <c r="R36" s="26" t="s">
        <v>2</v>
      </c>
      <c r="S36" s="26" t="s">
        <v>2</v>
      </c>
    </row>
    <row r="37" spans="2:19" ht="48" customHeight="1" x14ac:dyDescent="0.25">
      <c r="B37" s="18" t="s">
        <v>60</v>
      </c>
      <c r="C37" s="22"/>
      <c r="D37" s="22"/>
      <c r="E37" s="19" t="s">
        <v>72</v>
      </c>
      <c r="F37" s="19" t="s">
        <v>72</v>
      </c>
      <c r="G37" s="19" t="s">
        <v>72</v>
      </c>
      <c r="H37" s="19" t="s">
        <v>72</v>
      </c>
      <c r="I37" s="19" t="s">
        <v>72</v>
      </c>
      <c r="J37" s="19" t="s">
        <v>72</v>
      </c>
      <c r="K37" s="19">
        <f>C37</f>
        <v>0</v>
      </c>
      <c r="L37" s="19">
        <f>C37</f>
        <v>0</v>
      </c>
      <c r="M37" s="19">
        <f>C37</f>
        <v>0</v>
      </c>
      <c r="N37" s="4" t="s">
        <v>2</v>
      </c>
      <c r="O37" s="4" t="s">
        <v>2</v>
      </c>
      <c r="P37" s="4" t="s">
        <v>2</v>
      </c>
      <c r="Q37" s="26" t="s">
        <v>2</v>
      </c>
      <c r="R37" s="26" t="s">
        <v>2</v>
      </c>
      <c r="S37" s="26" t="s">
        <v>2</v>
      </c>
    </row>
    <row r="38" spans="2:19" ht="48" customHeight="1" x14ac:dyDescent="0.25">
      <c r="B38" s="18" t="s">
        <v>61</v>
      </c>
      <c r="C38" s="19">
        <f>SUM(C35:C35)</f>
        <v>574550</v>
      </c>
      <c r="D38" s="19">
        <f>SUM(D35:D35)</f>
        <v>1000000</v>
      </c>
      <c r="E38" s="19">
        <f>E36</f>
        <v>0</v>
      </c>
      <c r="F38" s="19">
        <f t="shared" ref="F38:J38" si="0">F36</f>
        <v>0</v>
      </c>
      <c r="G38" s="19">
        <f t="shared" si="0"/>
        <v>0</v>
      </c>
      <c r="H38" s="19">
        <f t="shared" si="0"/>
        <v>425450</v>
      </c>
      <c r="I38" s="19">
        <f t="shared" si="0"/>
        <v>425450</v>
      </c>
      <c r="J38" s="19">
        <f t="shared" si="0"/>
        <v>0</v>
      </c>
      <c r="K38" s="4">
        <f>+K35</f>
        <v>1000000</v>
      </c>
      <c r="L38" s="4">
        <f t="shared" ref="L38:M38" si="1">+L35</f>
        <v>1000000</v>
      </c>
      <c r="M38" s="4">
        <f t="shared" si="1"/>
        <v>0</v>
      </c>
      <c r="N38" s="4">
        <f>SUM(N35:N35)</f>
        <v>0</v>
      </c>
      <c r="O38" s="4">
        <f>SUM(O35:O35)</f>
        <v>0</v>
      </c>
      <c r="P38" s="4">
        <f>SUM(P35:P35)</f>
        <v>0</v>
      </c>
      <c r="Q38" s="26">
        <f>K38+N38</f>
        <v>1000000</v>
      </c>
      <c r="R38" s="26">
        <f>L38+O38</f>
        <v>1000000</v>
      </c>
      <c r="S38" s="26">
        <f>M38+P38</f>
        <v>0</v>
      </c>
    </row>
    <row r="40" spans="2:19" x14ac:dyDescent="0.25">
      <c r="E40" s="137"/>
    </row>
  </sheetData>
  <mergeCells count="13">
    <mergeCell ref="Q33:S33"/>
    <mergeCell ref="B29:E29"/>
    <mergeCell ref="B33:B34"/>
    <mergeCell ref="E33:G33"/>
    <mergeCell ref="H33:J33"/>
    <mergeCell ref="K33:M33"/>
    <mergeCell ref="N33:P33"/>
    <mergeCell ref="K17:K18"/>
    <mergeCell ref="B17:B18"/>
    <mergeCell ref="C17:C18"/>
    <mergeCell ref="D17:D18"/>
    <mergeCell ref="E17:E18"/>
    <mergeCell ref="F17:J17"/>
  </mergeCells>
  <dataValidations count="3">
    <dataValidation type="list" allowBlank="1" showInputMessage="1" showErrorMessage="1" sqref="D19" xr:uid="{4B40F7B0-4BF2-433F-B640-6FC205108846}">
      <formula1>$V$2:$V$3</formula1>
    </dataValidation>
    <dataValidation type="custom" allowBlank="1" showInputMessage="1" showErrorMessage="1" sqref="N35:P35" xr:uid="{83A74930-BCFF-449C-9D4D-02238060D611}">
      <formula1>"-"</formula1>
    </dataValidation>
    <dataValidation type="list" allowBlank="1" showInputMessage="1" showErrorMessage="1" sqref="B13" xr:uid="{94E54AFD-BFB8-4503-9127-327672683E07}">
      <formula1>$U$2:$U$4</formula1>
    </dataValidation>
  </dataValidations>
  <hyperlinks>
    <hyperlink ref="C12" location="_ftn1" display="_ftn1" xr:uid="{230A0C38-1531-48D3-8F86-64A0728754EB}"/>
    <hyperlink ref="D12" location="_ftn2" display="_ftn2" xr:uid="{1038511B-CC43-46CE-A175-4CB7FBE4865C}"/>
    <hyperlink ref="E12" location="_ftn3" display="_ftn3" xr:uid="{1C2CA6FC-6891-4011-AC49-5C5F8FCB7849}"/>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85725</xdr:colOff>
                    <xdr:row>25</xdr:row>
                    <xdr:rowOff>0</xdr:rowOff>
                  </from>
                  <to>
                    <xdr:col>2</xdr:col>
                    <xdr:colOff>1171575</xdr:colOff>
                    <xdr:row>26</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85725</xdr:colOff>
                    <xdr:row>22</xdr:row>
                    <xdr:rowOff>171450</xdr:rowOff>
                  </from>
                  <to>
                    <xdr:col>3</xdr:col>
                    <xdr:colOff>266700</xdr:colOff>
                    <xdr:row>24</xdr:row>
                    <xdr:rowOff>47625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xdr:col>
                    <xdr:colOff>85725</xdr:colOff>
                    <xdr:row>24</xdr:row>
                    <xdr:rowOff>28575</xdr:rowOff>
                  </from>
                  <to>
                    <xdr:col>3</xdr:col>
                    <xdr:colOff>266700</xdr:colOff>
                    <xdr:row>25</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xdr:col>
                    <xdr:colOff>95250</xdr:colOff>
                    <xdr:row>26</xdr:row>
                    <xdr:rowOff>9525</xdr:rowOff>
                  </from>
                  <to>
                    <xdr:col>2</xdr:col>
                    <xdr:colOff>571500</xdr:colOff>
                    <xdr:row>27</xdr:row>
                    <xdr:rowOff>9525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xdr:col>
                    <xdr:colOff>85725</xdr:colOff>
                    <xdr:row>25</xdr:row>
                    <xdr:rowOff>0</xdr:rowOff>
                  </from>
                  <to>
                    <xdr:col>2</xdr:col>
                    <xdr:colOff>1171575</xdr:colOff>
                    <xdr:row>26</xdr:row>
                    <xdr:rowOff>28575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xdr:col>
                    <xdr:colOff>85725</xdr:colOff>
                    <xdr:row>22</xdr:row>
                    <xdr:rowOff>171450</xdr:rowOff>
                  </from>
                  <to>
                    <xdr:col>3</xdr:col>
                    <xdr:colOff>266700</xdr:colOff>
                    <xdr:row>24</xdr:row>
                    <xdr:rowOff>28575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xdr:col>
                    <xdr:colOff>85725</xdr:colOff>
                    <xdr:row>24</xdr:row>
                    <xdr:rowOff>28575</xdr:rowOff>
                  </from>
                  <to>
                    <xdr:col>3</xdr:col>
                    <xdr:colOff>266700</xdr:colOff>
                    <xdr:row>25</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1</xdr:col>
                    <xdr:colOff>95250</xdr:colOff>
                    <xdr:row>26</xdr:row>
                    <xdr:rowOff>9525</xdr:rowOff>
                  </from>
                  <to>
                    <xdr:col>2</xdr:col>
                    <xdr:colOff>571500</xdr:colOff>
                    <xdr:row>27</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F3478-54A9-45D2-9C28-9D187DABF37E}">
  <sheetPr>
    <tabColor rgb="FF92D050"/>
  </sheetPr>
  <dimension ref="A1:W42"/>
  <sheetViews>
    <sheetView topLeftCell="A5" zoomScale="82" zoomScaleNormal="82" workbookViewId="0">
      <selection activeCell="F52" sqref="F52"/>
    </sheetView>
  </sheetViews>
  <sheetFormatPr defaultRowHeight="15" x14ac:dyDescent="0.25"/>
  <cols>
    <col min="1" max="1" width="6" customWidth="1"/>
    <col min="2" max="2" width="35.5703125" customWidth="1"/>
    <col min="3" max="3" width="48.85546875" customWidth="1"/>
    <col min="4" max="4" width="31.5703125" customWidth="1"/>
    <col min="5" max="5" width="40.28515625" customWidth="1"/>
    <col min="6" max="6" width="28.42578125" customWidth="1"/>
    <col min="7" max="7" width="22.28515625" customWidth="1"/>
    <col min="8" max="8" width="16.85546875" customWidth="1"/>
    <col min="9" max="9" width="12.140625" customWidth="1"/>
    <col min="10" max="10" width="16.42578125" customWidth="1"/>
    <col min="11" max="11" width="34" customWidth="1"/>
    <col min="12" max="12" width="11.28515625" customWidth="1"/>
    <col min="13" max="13" width="10.5703125" customWidth="1"/>
    <col min="14" max="14" width="9.5703125" customWidth="1"/>
    <col min="15" max="15" width="8.140625" customWidth="1"/>
    <col min="16" max="16" width="8" customWidth="1"/>
    <col min="17" max="17" width="10.7109375"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t="s">
        <v>675</v>
      </c>
      <c r="E5" s="25" t="s">
        <v>83</v>
      </c>
      <c r="F5" s="20">
        <v>2022</v>
      </c>
      <c r="H5" s="3"/>
      <c r="I5" s="3"/>
      <c r="J5" s="3"/>
    </row>
    <row r="6" spans="1:23" ht="27.6" customHeight="1" x14ac:dyDescent="0.25">
      <c r="B6" s="25" t="s">
        <v>80</v>
      </c>
      <c r="C6" s="20" t="s">
        <v>676</v>
      </c>
      <c r="E6" s="25" t="s">
        <v>84</v>
      </c>
      <c r="F6" s="20">
        <v>2024</v>
      </c>
      <c r="H6" s="3"/>
      <c r="I6" s="3"/>
      <c r="J6" s="3"/>
    </row>
    <row r="7" spans="1:23" ht="30" customHeight="1" x14ac:dyDescent="0.25">
      <c r="B7" s="25" t="s">
        <v>81</v>
      </c>
      <c r="C7" s="44" t="s">
        <v>677</v>
      </c>
      <c r="H7" s="3"/>
      <c r="I7" s="3"/>
      <c r="J7" s="3"/>
    </row>
    <row r="8" spans="1:23" ht="18" customHeight="1" x14ac:dyDescent="0.25">
      <c r="B8" s="25" t="s">
        <v>82</v>
      </c>
      <c r="C8" s="20"/>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236.25" customHeight="1" x14ac:dyDescent="0.3">
      <c r="B13" s="131" t="s">
        <v>48</v>
      </c>
      <c r="C13" s="132" t="s">
        <v>678</v>
      </c>
      <c r="D13" s="21"/>
      <c r="E13" s="132" t="s">
        <v>679</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2.5" customHeight="1" x14ac:dyDescent="0.25">
      <c r="B17" s="365" t="s">
        <v>89</v>
      </c>
      <c r="C17" s="365" t="s">
        <v>90</v>
      </c>
      <c r="D17" s="365" t="s">
        <v>91</v>
      </c>
      <c r="E17" s="365" t="s">
        <v>92</v>
      </c>
      <c r="F17" s="364" t="s">
        <v>93</v>
      </c>
      <c r="G17" s="364"/>
      <c r="H17" s="364"/>
      <c r="I17" s="364"/>
      <c r="J17" s="364"/>
      <c r="K17" s="364" t="s">
        <v>94</v>
      </c>
    </row>
    <row r="18" spans="1:11" ht="21" customHeight="1" x14ac:dyDescent="0.25">
      <c r="B18" s="365"/>
      <c r="C18" s="365"/>
      <c r="D18" s="365"/>
      <c r="E18" s="365"/>
      <c r="F18" s="27" t="s">
        <v>51</v>
      </c>
      <c r="G18" s="27" t="s">
        <v>52</v>
      </c>
      <c r="H18" s="27" t="s">
        <v>0</v>
      </c>
      <c r="I18" s="27" t="s">
        <v>1</v>
      </c>
      <c r="J18" s="27" t="s">
        <v>3</v>
      </c>
      <c r="K18" s="364"/>
    </row>
    <row r="19" spans="1:11" ht="153" x14ac:dyDescent="0.25">
      <c r="B19" s="30" t="s">
        <v>680</v>
      </c>
      <c r="C19" s="58" t="s">
        <v>681</v>
      </c>
      <c r="D19" s="30" t="s">
        <v>47</v>
      </c>
      <c r="E19" s="30" t="s">
        <v>341</v>
      </c>
      <c r="F19" s="30"/>
      <c r="G19" s="30">
        <v>130</v>
      </c>
      <c r="H19" s="30">
        <v>670</v>
      </c>
      <c r="I19" s="30"/>
      <c r="J19" s="30"/>
      <c r="K19" s="261" t="s">
        <v>682</v>
      </c>
    </row>
    <row r="20" spans="1:11" x14ac:dyDescent="0.25">
      <c r="B20" s="21"/>
      <c r="C20" s="21"/>
      <c r="D20" s="21"/>
      <c r="E20" s="21"/>
      <c r="F20" s="21"/>
      <c r="G20" s="21"/>
      <c r="H20" s="21"/>
      <c r="I20" s="21"/>
      <c r="J20" s="21"/>
      <c r="K20" s="21"/>
    </row>
    <row r="21" spans="1:11" ht="17.25" x14ac:dyDescent="0.25">
      <c r="B21" s="3"/>
      <c r="C21" s="3"/>
      <c r="D21" s="3"/>
      <c r="E21" s="3"/>
      <c r="F21" s="3"/>
      <c r="G21" s="3"/>
      <c r="H21" s="3"/>
      <c r="I21" s="3"/>
      <c r="J21" s="3"/>
    </row>
    <row r="22" spans="1:11" ht="15.75" x14ac:dyDescent="0.25">
      <c r="A22" s="12" t="s">
        <v>53</v>
      </c>
      <c r="C22" s="13"/>
      <c r="D22" s="13"/>
      <c r="E22" s="13"/>
      <c r="F22" s="13"/>
      <c r="G22" s="13"/>
      <c r="H22" s="13"/>
      <c r="I22" s="13"/>
      <c r="J22" s="13"/>
    </row>
    <row r="23" spans="1:11" x14ac:dyDescent="0.25">
      <c r="A23" s="14"/>
      <c r="C23" s="15"/>
      <c r="D23" s="15"/>
      <c r="E23" s="15"/>
      <c r="F23" s="15"/>
      <c r="G23" s="15"/>
      <c r="H23" s="15"/>
      <c r="I23" s="15"/>
      <c r="J23" s="15"/>
    </row>
    <row r="24" spans="1:11" x14ac:dyDescent="0.25">
      <c r="A24" s="16" t="s">
        <v>54</v>
      </c>
      <c r="C24" s="17"/>
      <c r="D24" s="17"/>
      <c r="E24" s="13"/>
      <c r="F24" s="13"/>
      <c r="G24" s="13"/>
      <c r="H24" s="13"/>
      <c r="I24" s="13"/>
      <c r="J24" s="13"/>
    </row>
    <row r="25" spans="1:11" x14ac:dyDescent="0.25">
      <c r="B25" s="17"/>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A29" s="16" t="s">
        <v>55</v>
      </c>
      <c r="E29" s="13"/>
      <c r="F29" s="13"/>
      <c r="G29" s="13"/>
      <c r="H29" s="13"/>
      <c r="I29" s="13"/>
      <c r="J29" s="13"/>
    </row>
    <row r="30" spans="1:11" x14ac:dyDescent="0.25">
      <c r="B30" s="360"/>
      <c r="C30" s="361"/>
      <c r="D30" s="361"/>
      <c r="E30" s="362"/>
      <c r="F30" s="13"/>
      <c r="G30" s="13"/>
      <c r="H30" s="13"/>
      <c r="I30" s="13"/>
      <c r="J30" s="13"/>
    </row>
    <row r="31" spans="1:11" ht="17.25" x14ac:dyDescent="0.25">
      <c r="B31" s="3"/>
      <c r="C31" s="3"/>
      <c r="D31" s="3"/>
      <c r="E31" s="13"/>
      <c r="F31" s="13"/>
      <c r="G31" s="13"/>
      <c r="H31" s="13"/>
      <c r="I31" s="13"/>
      <c r="J31" s="13"/>
    </row>
    <row r="32" spans="1:11" x14ac:dyDescent="0.25">
      <c r="A32" s="7" t="s">
        <v>56</v>
      </c>
    </row>
    <row r="34" spans="2:19" ht="43.5" customHeight="1" x14ac:dyDescent="0.25">
      <c r="B34" s="363" t="s">
        <v>95</v>
      </c>
      <c r="C34" s="4" t="s">
        <v>96</v>
      </c>
      <c r="D34" s="4" t="s">
        <v>97</v>
      </c>
      <c r="E34" s="358" t="s">
        <v>98</v>
      </c>
      <c r="F34" s="358"/>
      <c r="G34" s="358"/>
      <c r="H34" s="358" t="s">
        <v>99</v>
      </c>
      <c r="I34" s="358"/>
      <c r="J34" s="358"/>
      <c r="K34" s="358" t="s">
        <v>100</v>
      </c>
      <c r="L34" s="358"/>
      <c r="M34" s="358"/>
      <c r="N34" s="358" t="s">
        <v>101</v>
      </c>
      <c r="O34" s="358"/>
      <c r="P34" s="358"/>
      <c r="Q34" s="359" t="s">
        <v>102</v>
      </c>
      <c r="R34" s="359"/>
      <c r="S34" s="359"/>
    </row>
    <row r="35" spans="2:19" ht="30" customHeight="1" x14ac:dyDescent="0.25">
      <c r="B35" s="363"/>
      <c r="C35" s="4" t="s">
        <v>35</v>
      </c>
      <c r="D35" s="4" t="s">
        <v>36</v>
      </c>
      <c r="E35" s="19" t="s">
        <v>0</v>
      </c>
      <c r="F35" s="19" t="s">
        <v>1</v>
      </c>
      <c r="G35" s="19" t="s">
        <v>3</v>
      </c>
      <c r="H35" s="19" t="s">
        <v>0</v>
      </c>
      <c r="I35" s="19" t="s">
        <v>1</v>
      </c>
      <c r="J35" s="19" t="s">
        <v>3</v>
      </c>
      <c r="K35" s="19" t="s">
        <v>39</v>
      </c>
      <c r="L35" s="19" t="s">
        <v>38</v>
      </c>
      <c r="M35" s="19" t="s">
        <v>37</v>
      </c>
      <c r="N35" s="19" t="s">
        <v>39</v>
      </c>
      <c r="O35" s="19" t="s">
        <v>38</v>
      </c>
      <c r="P35" s="19" t="s">
        <v>37</v>
      </c>
      <c r="Q35" s="26" t="s">
        <v>0</v>
      </c>
      <c r="R35" s="26" t="s">
        <v>1</v>
      </c>
      <c r="S35" s="26" t="s">
        <v>3</v>
      </c>
    </row>
    <row r="36" spans="2:19" ht="27" x14ac:dyDescent="0.25">
      <c r="B36" s="22" t="s">
        <v>683</v>
      </c>
      <c r="C36" s="22"/>
      <c r="D36" s="22"/>
      <c r="E36" s="233"/>
      <c r="F36" s="23"/>
      <c r="G36" s="23"/>
      <c r="H36" s="53"/>
      <c r="I36" s="23"/>
      <c r="J36" s="23"/>
      <c r="K36" s="19">
        <f>C36+E36+H36</f>
        <v>0</v>
      </c>
      <c r="L36" s="19">
        <f>C36+F36+I36</f>
        <v>0</v>
      </c>
      <c r="M36" s="19">
        <f>C36+G36+J36</f>
        <v>0</v>
      </c>
      <c r="N36" s="23"/>
      <c r="O36" s="23"/>
      <c r="P36" s="23"/>
      <c r="Q36" s="26">
        <f t="shared" ref="Q36:S39" si="0">K36+N36</f>
        <v>0</v>
      </c>
      <c r="R36" s="26">
        <f t="shared" si="0"/>
        <v>0</v>
      </c>
      <c r="S36" s="26">
        <f t="shared" si="0"/>
        <v>0</v>
      </c>
    </row>
    <row r="37" spans="2:19" ht="19.899999999999999" customHeight="1" x14ac:dyDescent="0.25">
      <c r="B37" s="22" t="s">
        <v>684</v>
      </c>
      <c r="C37" s="22"/>
      <c r="D37" s="234">
        <v>650000</v>
      </c>
      <c r="E37" s="235"/>
      <c r="F37" s="236"/>
      <c r="G37" s="236"/>
      <c r="H37" s="237">
        <v>2700000</v>
      </c>
      <c r="I37" s="236"/>
      <c r="J37" s="236"/>
      <c r="K37" s="238">
        <f>D37+E37+H37</f>
        <v>3350000</v>
      </c>
      <c r="L37" s="19">
        <f>C37+F37+I37</f>
        <v>0</v>
      </c>
      <c r="M37" s="239">
        <f>E37+G37+J37</f>
        <v>0</v>
      </c>
      <c r="N37" s="23"/>
      <c r="O37" s="23"/>
      <c r="P37" s="23"/>
      <c r="Q37" s="240">
        <f t="shared" si="0"/>
        <v>3350000</v>
      </c>
      <c r="R37" s="26">
        <f t="shared" si="0"/>
        <v>0</v>
      </c>
      <c r="S37" s="26">
        <f t="shared" si="0"/>
        <v>0</v>
      </c>
    </row>
    <row r="38" spans="2:19" ht="25.5" customHeight="1" x14ac:dyDescent="0.25">
      <c r="B38" s="22" t="s">
        <v>176</v>
      </c>
      <c r="C38" s="22"/>
      <c r="D38" s="234"/>
      <c r="E38" s="236"/>
      <c r="F38" s="236"/>
      <c r="G38" s="236"/>
      <c r="H38" s="237">
        <v>670000</v>
      </c>
      <c r="I38" s="236"/>
      <c r="J38" s="236"/>
      <c r="K38" s="238">
        <f>D38+E38+H38</f>
        <v>670000</v>
      </c>
      <c r="L38" s="239">
        <f>D38+F38+I38</f>
        <v>0</v>
      </c>
      <c r="M38" s="19">
        <f t="shared" ref="K38:M39" si="1">E38+G38+J38</f>
        <v>0</v>
      </c>
      <c r="N38" s="23"/>
      <c r="O38" s="23"/>
      <c r="P38" s="23"/>
      <c r="Q38" s="240">
        <f t="shared" si="0"/>
        <v>670000</v>
      </c>
      <c r="R38" s="26">
        <f t="shared" si="0"/>
        <v>0</v>
      </c>
      <c r="S38" s="26">
        <f t="shared" si="0"/>
        <v>0</v>
      </c>
    </row>
    <row r="39" spans="2:19" ht="18" hidden="1" customHeight="1" x14ac:dyDescent="0.25">
      <c r="B39" s="22"/>
      <c r="C39" s="22"/>
      <c r="D39" s="22"/>
      <c r="E39" s="23"/>
      <c r="F39" s="23"/>
      <c r="G39" s="23"/>
      <c r="H39" s="53"/>
      <c r="I39" s="23"/>
      <c r="J39" s="23"/>
      <c r="K39" s="19">
        <f t="shared" si="1"/>
        <v>0</v>
      </c>
      <c r="L39" s="19">
        <f t="shared" si="1"/>
        <v>0</v>
      </c>
      <c r="M39" s="19">
        <f t="shared" si="1"/>
        <v>0</v>
      </c>
      <c r="N39" s="23"/>
      <c r="O39" s="23"/>
      <c r="P39" s="23"/>
      <c r="Q39" s="26">
        <f t="shared" si="0"/>
        <v>0</v>
      </c>
      <c r="R39" s="26">
        <f t="shared" si="0"/>
        <v>0</v>
      </c>
      <c r="S39" s="26">
        <f t="shared" si="0"/>
        <v>0</v>
      </c>
    </row>
    <row r="40" spans="2:19" ht="31.15" customHeight="1" x14ac:dyDescent="0.25">
      <c r="B40" s="18" t="s">
        <v>73</v>
      </c>
      <c r="C40" s="22"/>
      <c r="D40" s="234">
        <f>+D36+D37+D38+D39</f>
        <v>650000</v>
      </c>
      <c r="E40" s="241">
        <f t="shared" ref="E40:J40" si="2">SUM(E36:E39)</f>
        <v>0</v>
      </c>
      <c r="F40" s="19">
        <f t="shared" si="2"/>
        <v>0</v>
      </c>
      <c r="G40" s="19">
        <f t="shared" si="2"/>
        <v>0</v>
      </c>
      <c r="H40" s="242">
        <f t="shared" si="2"/>
        <v>3370000</v>
      </c>
      <c r="I40" s="19">
        <f t="shared" si="2"/>
        <v>0</v>
      </c>
      <c r="J40" s="19">
        <f t="shared" si="2"/>
        <v>0</v>
      </c>
      <c r="K40" s="243">
        <f>D40+E40+H40</f>
        <v>4020000</v>
      </c>
      <c r="L40" s="19">
        <f>C40+F40+I40</f>
        <v>0</v>
      </c>
      <c r="M40" s="19">
        <f>C40+G40+J40</f>
        <v>0</v>
      </c>
      <c r="N40" s="4" t="s">
        <v>2</v>
      </c>
      <c r="O40" s="4" t="s">
        <v>2</v>
      </c>
      <c r="P40" s="4" t="s">
        <v>2</v>
      </c>
      <c r="Q40" s="26" t="s">
        <v>2</v>
      </c>
      <c r="R40" s="26" t="s">
        <v>2</v>
      </c>
      <c r="S40" s="26" t="s">
        <v>2</v>
      </c>
    </row>
    <row r="41" spans="2:19" ht="31.15" customHeight="1" x14ac:dyDescent="0.25">
      <c r="B41" s="18" t="s">
        <v>60</v>
      </c>
      <c r="C41" s="22"/>
      <c r="D41" s="22"/>
      <c r="E41" s="19" t="s">
        <v>72</v>
      </c>
      <c r="F41" s="19" t="s">
        <v>72</v>
      </c>
      <c r="G41" s="19" t="s">
        <v>72</v>
      </c>
      <c r="H41" s="19" t="s">
        <v>72</v>
      </c>
      <c r="I41" s="19" t="s">
        <v>72</v>
      </c>
      <c r="J41" s="19" t="s">
        <v>72</v>
      </c>
      <c r="K41" s="244">
        <f>C41</f>
        <v>0</v>
      </c>
      <c r="L41" s="19">
        <f>C41</f>
        <v>0</v>
      </c>
      <c r="M41" s="19">
        <f>C41</f>
        <v>0</v>
      </c>
      <c r="N41" s="4" t="s">
        <v>2</v>
      </c>
      <c r="O41" s="4" t="s">
        <v>2</v>
      </c>
      <c r="P41" s="4" t="s">
        <v>2</v>
      </c>
      <c r="Q41" s="26" t="s">
        <v>2</v>
      </c>
      <c r="R41" s="26" t="s">
        <v>2</v>
      </c>
      <c r="S41" s="26" t="s">
        <v>2</v>
      </c>
    </row>
    <row r="42" spans="2:19" s="199" customFormat="1" ht="24.6" customHeight="1" x14ac:dyDescent="0.25">
      <c r="B42" s="246" t="s">
        <v>698</v>
      </c>
      <c r="C42" s="255">
        <f>SUM(C36:C39)</f>
        <v>0</v>
      </c>
      <c r="D42" s="277">
        <f>SUM(D36:D39)</f>
        <v>650000</v>
      </c>
      <c r="E42" s="277">
        <f t="shared" ref="E42:J42" si="3">E40</f>
        <v>0</v>
      </c>
      <c r="F42" s="255">
        <f t="shared" si="3"/>
        <v>0</v>
      </c>
      <c r="G42" s="255">
        <f t="shared" si="3"/>
        <v>0</v>
      </c>
      <c r="H42" s="278">
        <f t="shared" si="3"/>
        <v>3370000</v>
      </c>
      <c r="I42" s="255">
        <f t="shared" si="3"/>
        <v>0</v>
      </c>
      <c r="J42" s="255">
        <f t="shared" si="3"/>
        <v>0</v>
      </c>
      <c r="K42" s="279">
        <f>K40+K41</f>
        <v>4020000</v>
      </c>
      <c r="L42" s="256">
        <f>L40+L41</f>
        <v>0</v>
      </c>
      <c r="M42" s="256">
        <f>M40+M41</f>
        <v>0</v>
      </c>
      <c r="N42" s="256">
        <f>SUM(N36:N39)</f>
        <v>0</v>
      </c>
      <c r="O42" s="256">
        <f>SUM(O36:O39)</f>
        <v>0</v>
      </c>
      <c r="P42" s="256">
        <f>SUM(P36:P39)</f>
        <v>0</v>
      </c>
      <c r="Q42" s="275">
        <f>K42+N42</f>
        <v>4020000</v>
      </c>
      <c r="R42" s="276">
        <f>L42+O42</f>
        <v>0</v>
      </c>
      <c r="S42" s="276">
        <f>M42+P42</f>
        <v>0</v>
      </c>
    </row>
  </sheetData>
  <mergeCells count="13">
    <mergeCell ref="Q34:S34"/>
    <mergeCell ref="B30:E30"/>
    <mergeCell ref="B34:B35"/>
    <mergeCell ref="E34:G34"/>
    <mergeCell ref="H34:J34"/>
    <mergeCell ref="K34:M34"/>
    <mergeCell ref="N34:P34"/>
    <mergeCell ref="K17:K18"/>
    <mergeCell ref="B17:B18"/>
    <mergeCell ref="C17:C18"/>
    <mergeCell ref="D17:D18"/>
    <mergeCell ref="E17:E18"/>
    <mergeCell ref="F17:J17"/>
  </mergeCells>
  <dataValidations count="4">
    <dataValidation type="custom" allowBlank="1" showInputMessage="1" showErrorMessage="1" sqref="N36:P39" xr:uid="{CA8724C9-542E-4AFD-BF0F-DE0A0FC67EAD}">
      <formula1>"-"</formula1>
    </dataValidation>
    <dataValidation type="list" allowBlank="1" showInputMessage="1" showErrorMessage="1" sqref="B13" xr:uid="{FB480611-508D-4D5B-8D2B-DE2AFFA6B4A1}">
      <formula1>$U$2:$U$4</formula1>
    </dataValidation>
    <dataValidation type="list" allowBlank="1" showInputMessage="1" showErrorMessage="1" sqref="D19:D20" xr:uid="{8C177151-675A-405F-9294-677E7EF2384D}">
      <formula1>$V$2:$V$3</formula1>
    </dataValidation>
    <dataValidation showInputMessage="1" showErrorMessage="1" sqref="E19:E20" xr:uid="{853B9B3F-F443-44ED-A417-4D2C526D3763}"/>
  </dataValidations>
  <hyperlinks>
    <hyperlink ref="C12" location="_ftn1" display="_ftn1" xr:uid="{D798E904-39ED-4F21-B520-831C877BD5C3}"/>
    <hyperlink ref="D12" location="_ftn2" display="_ftn2" xr:uid="{D2D2AB26-EF3A-4591-858C-943DA98851F7}"/>
    <hyperlink ref="E12" location="_ftn3" display="_ftn3" xr:uid="{E5B440C2-0754-48FD-B2D0-6E5D3F6185B6}"/>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1</xdr:col>
                    <xdr:colOff>85725</xdr:colOff>
                    <xdr:row>26</xdr:row>
                    <xdr:rowOff>0</xdr:rowOff>
                  </from>
                  <to>
                    <xdr:col>2</xdr:col>
                    <xdr:colOff>1009650</xdr:colOff>
                    <xdr:row>27</xdr:row>
                    <xdr:rowOff>38100</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1</xdr:col>
                    <xdr:colOff>85725</xdr:colOff>
                    <xdr:row>23</xdr:row>
                    <xdr:rowOff>171450</xdr:rowOff>
                  </from>
                  <to>
                    <xdr:col>2</xdr:col>
                    <xdr:colOff>1762125</xdr:colOff>
                    <xdr:row>25</xdr:row>
                    <xdr:rowOff>47625</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xdr:col>
                    <xdr:colOff>85725</xdr:colOff>
                    <xdr:row>25</xdr:row>
                    <xdr:rowOff>28575</xdr:rowOff>
                  </from>
                  <to>
                    <xdr:col>2</xdr:col>
                    <xdr:colOff>1762125</xdr:colOff>
                    <xdr:row>26</xdr:row>
                    <xdr:rowOff>9525</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1</xdr:col>
                    <xdr:colOff>95250</xdr:colOff>
                    <xdr:row>27</xdr:row>
                    <xdr:rowOff>9525</xdr:rowOff>
                  </from>
                  <to>
                    <xdr:col>2</xdr:col>
                    <xdr:colOff>409575</xdr:colOff>
                    <xdr:row>28</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109C2-B4AA-4D3E-B23E-63B4A85FB77B}">
  <dimension ref="A1:W89"/>
  <sheetViews>
    <sheetView topLeftCell="A67" workbookViewId="0">
      <selection activeCell="C83" sqref="C83:R83"/>
    </sheetView>
  </sheetViews>
  <sheetFormatPr defaultRowHeight="15" x14ac:dyDescent="0.25"/>
  <cols>
    <col min="1" max="1" width="6" customWidth="1"/>
    <col min="2" max="2" width="34.42578125" customWidth="1"/>
    <col min="3" max="3" width="23.42578125" customWidth="1"/>
    <col min="4" max="4" width="19.140625" customWidth="1"/>
    <col min="5" max="5" width="17.140625" customWidth="1"/>
    <col min="6" max="6" width="15.85546875" customWidth="1"/>
    <col min="7" max="7" width="14.28515625" customWidth="1"/>
    <col min="8" max="8" width="13" customWidth="1"/>
    <col min="9" max="9" width="10.42578125" customWidth="1"/>
    <col min="10" max="10" width="14" customWidth="1"/>
    <col min="11" max="11" width="17.140625" customWidth="1"/>
    <col min="12" max="12" width="11.7109375" customWidth="1"/>
    <col min="13" max="13" width="13.140625" customWidth="1"/>
    <col min="14" max="14" width="9.5703125" customWidth="1"/>
    <col min="15" max="15" width="8.140625" customWidth="1"/>
    <col min="16" max="16" width="8" customWidth="1"/>
    <col min="17" max="19" width="11"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42" customHeight="1" x14ac:dyDescent="0.25">
      <c r="B5" s="25" t="s">
        <v>79</v>
      </c>
      <c r="C5" s="20">
        <v>1058</v>
      </c>
      <c r="E5" s="25" t="s">
        <v>83</v>
      </c>
      <c r="F5" s="20"/>
      <c r="H5" s="3"/>
      <c r="I5" s="3"/>
      <c r="J5" s="3"/>
    </row>
    <row r="6" spans="1:23" ht="53.25" customHeight="1" x14ac:dyDescent="0.25">
      <c r="B6" s="25" t="s">
        <v>80</v>
      </c>
      <c r="C6" s="29" t="s">
        <v>731</v>
      </c>
      <c r="E6" s="25" t="s">
        <v>84</v>
      </c>
      <c r="F6" s="20" t="s">
        <v>132</v>
      </c>
      <c r="H6" s="3"/>
      <c r="I6" s="3"/>
      <c r="J6" s="3"/>
    </row>
    <row r="7" spans="1:23" ht="18" customHeight="1" x14ac:dyDescent="0.25">
      <c r="B7" s="25" t="s">
        <v>81</v>
      </c>
      <c r="C7" s="20">
        <v>11001</v>
      </c>
      <c r="H7" s="3"/>
      <c r="I7" s="3"/>
      <c r="J7" s="3"/>
    </row>
    <row r="8" spans="1:23" ht="66" customHeight="1" x14ac:dyDescent="0.25">
      <c r="B8" s="25" t="s">
        <v>82</v>
      </c>
      <c r="C8" s="29" t="s">
        <v>731</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83.25" customHeight="1" x14ac:dyDescent="0.25">
      <c r="B12" s="10" t="s">
        <v>85</v>
      </c>
      <c r="C12" s="28" t="s">
        <v>86</v>
      </c>
      <c r="D12" s="28" t="s">
        <v>87</v>
      </c>
      <c r="E12" s="28" t="s">
        <v>88</v>
      </c>
      <c r="F12" s="3"/>
      <c r="G12" s="3"/>
      <c r="H12" s="3"/>
      <c r="I12" s="3"/>
      <c r="J12" s="3"/>
    </row>
    <row r="13" spans="1:23" ht="99.75" customHeight="1" x14ac:dyDescent="0.3">
      <c r="B13" s="31" t="s">
        <v>43</v>
      </c>
      <c r="C13" s="32" t="s">
        <v>134</v>
      </c>
      <c r="D13" s="32" t="s">
        <v>133</v>
      </c>
      <c r="E13" s="32" t="s">
        <v>135</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2:16" ht="26.25" customHeight="1" x14ac:dyDescent="0.25">
      <c r="B17" s="365" t="s">
        <v>89</v>
      </c>
      <c r="C17" s="365" t="s">
        <v>90</v>
      </c>
      <c r="D17" s="365" t="s">
        <v>91</v>
      </c>
      <c r="E17" s="365" t="s">
        <v>92</v>
      </c>
      <c r="F17" s="364" t="s">
        <v>93</v>
      </c>
      <c r="G17" s="364"/>
      <c r="H17" s="364"/>
      <c r="I17" s="364"/>
      <c r="J17" s="364"/>
      <c r="K17" s="364" t="s">
        <v>94</v>
      </c>
    </row>
    <row r="18" spans="2:16" ht="37.5" customHeight="1" x14ac:dyDescent="0.25">
      <c r="B18" s="365"/>
      <c r="C18" s="365"/>
      <c r="D18" s="365"/>
      <c r="E18" s="365"/>
      <c r="F18" s="27" t="s">
        <v>51</v>
      </c>
      <c r="G18" s="27" t="s">
        <v>52</v>
      </c>
      <c r="H18" s="27" t="s">
        <v>0</v>
      </c>
      <c r="I18" s="27" t="s">
        <v>1</v>
      </c>
      <c r="J18" s="27" t="s">
        <v>3</v>
      </c>
      <c r="K18" s="364"/>
    </row>
    <row r="19" spans="2:16" ht="180" customHeight="1" x14ac:dyDescent="0.25">
      <c r="B19" s="366" t="s">
        <v>105</v>
      </c>
      <c r="C19" s="30" t="s">
        <v>111</v>
      </c>
      <c r="D19" s="30" t="s">
        <v>44</v>
      </c>
      <c r="E19" s="30"/>
      <c r="F19" s="37">
        <v>198133.1</v>
      </c>
      <c r="G19" s="37">
        <v>225353.3</v>
      </c>
      <c r="H19" s="37">
        <v>306027.8</v>
      </c>
      <c r="I19" s="37">
        <v>306027.8</v>
      </c>
      <c r="J19" s="37">
        <v>306027.8</v>
      </c>
      <c r="K19" s="38" t="s">
        <v>129</v>
      </c>
    </row>
    <row r="20" spans="2:16" ht="75.75" customHeight="1" x14ac:dyDescent="0.25">
      <c r="B20" s="367"/>
      <c r="C20" s="30" t="s">
        <v>106</v>
      </c>
      <c r="D20" s="30" t="s">
        <v>47</v>
      </c>
      <c r="E20" s="30"/>
      <c r="F20" s="30">
        <v>80</v>
      </c>
      <c r="G20" s="30">
        <v>98</v>
      </c>
      <c r="H20" s="30">
        <v>98</v>
      </c>
      <c r="I20" s="30">
        <v>98</v>
      </c>
      <c r="J20" s="30">
        <v>98</v>
      </c>
      <c r="K20" s="32" t="s">
        <v>140</v>
      </c>
    </row>
    <row r="21" spans="2:16" ht="57.75" customHeight="1" x14ac:dyDescent="0.25">
      <c r="B21" s="368" t="s">
        <v>107</v>
      </c>
      <c r="C21" s="30" t="s">
        <v>111</v>
      </c>
      <c r="D21" s="30" t="s">
        <v>44</v>
      </c>
      <c r="E21" s="32" t="s">
        <v>136</v>
      </c>
      <c r="F21" s="33">
        <v>2740.6</v>
      </c>
      <c r="G21" s="33"/>
      <c r="H21" s="33">
        <v>9171</v>
      </c>
      <c r="I21" s="33">
        <v>9171</v>
      </c>
      <c r="J21" s="33">
        <v>9171</v>
      </c>
      <c r="K21" s="366" t="s">
        <v>144</v>
      </c>
      <c r="P21">
        <f>20404*13</f>
        <v>265252</v>
      </c>
    </row>
    <row r="22" spans="2:16" ht="77.25" customHeight="1" x14ac:dyDescent="0.25">
      <c r="B22" s="369"/>
      <c r="C22" s="30" t="s">
        <v>108</v>
      </c>
      <c r="D22" s="30" t="s">
        <v>47</v>
      </c>
      <c r="E22" s="22"/>
      <c r="F22" s="33">
        <v>90.6</v>
      </c>
      <c r="G22" s="33"/>
      <c r="H22" s="33">
        <v>171.48500000000001</v>
      </c>
      <c r="I22" s="33">
        <v>171.48500000000001</v>
      </c>
      <c r="J22" s="33">
        <v>171.48500000000001</v>
      </c>
      <c r="K22" s="367"/>
    </row>
    <row r="23" spans="2:16" ht="39" customHeight="1" x14ac:dyDescent="0.25">
      <c r="B23" s="368" t="s">
        <v>109</v>
      </c>
      <c r="C23" s="30" t="s">
        <v>111</v>
      </c>
      <c r="D23" s="30" t="s">
        <v>44</v>
      </c>
      <c r="E23" s="30"/>
      <c r="F23" s="30">
        <v>197.6</v>
      </c>
      <c r="G23" s="30"/>
      <c r="H23" s="37">
        <v>1735.7</v>
      </c>
      <c r="I23" s="37">
        <v>1735.7</v>
      </c>
      <c r="J23" s="37">
        <v>1735.7</v>
      </c>
      <c r="K23" s="366" t="s">
        <v>128</v>
      </c>
    </row>
    <row r="24" spans="2:16" ht="63" customHeight="1" x14ac:dyDescent="0.25">
      <c r="B24" s="369"/>
      <c r="C24" s="30" t="s">
        <v>141</v>
      </c>
      <c r="D24" s="30" t="s">
        <v>47</v>
      </c>
      <c r="E24" s="30"/>
      <c r="F24" s="30">
        <v>1097.7</v>
      </c>
      <c r="G24" s="30"/>
      <c r="H24" s="37">
        <v>8658</v>
      </c>
      <c r="I24" s="37">
        <v>8658</v>
      </c>
      <c r="J24" s="37">
        <v>8658</v>
      </c>
      <c r="K24" s="367"/>
    </row>
    <row r="25" spans="2:16" ht="80.25" customHeight="1" x14ac:dyDescent="0.25">
      <c r="B25" s="22" t="s">
        <v>110</v>
      </c>
      <c r="C25" s="30" t="s">
        <v>111</v>
      </c>
      <c r="D25" s="30" t="s">
        <v>44</v>
      </c>
      <c r="E25" s="30"/>
      <c r="F25" s="34">
        <v>1350</v>
      </c>
      <c r="G25" s="34"/>
      <c r="H25" s="37">
        <v>6652</v>
      </c>
      <c r="I25" s="37">
        <v>6652</v>
      </c>
      <c r="J25" s="37">
        <v>6652</v>
      </c>
      <c r="K25" s="32" t="s">
        <v>127</v>
      </c>
    </row>
    <row r="26" spans="2:16" ht="19.5" customHeight="1" x14ac:dyDescent="0.25">
      <c r="B26" s="368" t="s">
        <v>112</v>
      </c>
      <c r="C26" s="30" t="s">
        <v>111</v>
      </c>
      <c r="D26" s="30" t="s">
        <v>44</v>
      </c>
      <c r="E26" s="30"/>
      <c r="F26" s="37">
        <v>678</v>
      </c>
      <c r="G26" s="37"/>
      <c r="H26" s="37">
        <v>1440</v>
      </c>
      <c r="I26" s="37">
        <v>1440</v>
      </c>
      <c r="J26" s="37">
        <v>1440</v>
      </c>
      <c r="K26" s="30"/>
    </row>
    <row r="27" spans="2:16" ht="15" customHeight="1" x14ac:dyDescent="0.25">
      <c r="B27" s="369"/>
      <c r="C27" s="30" t="s">
        <v>137</v>
      </c>
      <c r="D27" s="30" t="s">
        <v>47</v>
      </c>
      <c r="E27" s="30"/>
      <c r="F27" s="37">
        <v>25</v>
      </c>
      <c r="G27" s="37"/>
      <c r="H27" s="37">
        <v>36</v>
      </c>
      <c r="I27" s="37">
        <v>36</v>
      </c>
      <c r="J27" s="37">
        <v>36</v>
      </c>
      <c r="K27" s="30"/>
    </row>
    <row r="28" spans="2:16" ht="34.5" customHeight="1" x14ac:dyDescent="0.25">
      <c r="B28" s="368" t="s">
        <v>113</v>
      </c>
      <c r="C28" s="22" t="s">
        <v>111</v>
      </c>
      <c r="D28" s="30" t="s">
        <v>44</v>
      </c>
      <c r="E28" s="30"/>
      <c r="F28" s="37">
        <v>5960</v>
      </c>
      <c r="G28" s="37"/>
      <c r="H28" s="37">
        <v>9500</v>
      </c>
      <c r="I28" s="37">
        <v>9500</v>
      </c>
      <c r="J28" s="37">
        <v>9500</v>
      </c>
      <c r="K28" s="32" t="s">
        <v>139</v>
      </c>
    </row>
    <row r="29" spans="2:16" ht="24.75" customHeight="1" x14ac:dyDescent="0.25">
      <c r="B29" s="369"/>
      <c r="C29" s="22" t="s">
        <v>138</v>
      </c>
      <c r="D29" s="30" t="s">
        <v>47</v>
      </c>
      <c r="E29" s="30"/>
      <c r="F29" s="37">
        <v>578</v>
      </c>
      <c r="G29" s="37"/>
      <c r="H29" s="37">
        <v>812</v>
      </c>
      <c r="I29" s="37">
        <v>812</v>
      </c>
      <c r="J29" s="37">
        <v>812</v>
      </c>
      <c r="K29" s="30"/>
    </row>
    <row r="30" spans="2:16" ht="21.75" customHeight="1" x14ac:dyDescent="0.25">
      <c r="B30" s="22" t="s">
        <v>114</v>
      </c>
      <c r="C30" s="30" t="s">
        <v>111</v>
      </c>
      <c r="D30" s="30" t="s">
        <v>44</v>
      </c>
      <c r="E30" s="30"/>
      <c r="F30" s="37">
        <v>414</v>
      </c>
      <c r="G30" s="37"/>
      <c r="H30" s="37">
        <v>2980</v>
      </c>
      <c r="I30" s="37">
        <v>2980</v>
      </c>
      <c r="J30" s="37">
        <v>2980</v>
      </c>
      <c r="K30" s="30"/>
    </row>
    <row r="31" spans="2:16" ht="24.75" customHeight="1" x14ac:dyDescent="0.25">
      <c r="B31" s="30" t="s">
        <v>115</v>
      </c>
      <c r="C31" s="30" t="s">
        <v>111</v>
      </c>
      <c r="D31" s="30" t="s">
        <v>44</v>
      </c>
      <c r="E31" s="30"/>
      <c r="F31" s="37">
        <v>71</v>
      </c>
      <c r="G31" s="37"/>
      <c r="H31" s="37">
        <v>1400</v>
      </c>
      <c r="I31" s="37">
        <v>1400</v>
      </c>
      <c r="J31" s="37">
        <v>1400</v>
      </c>
      <c r="K31" s="30"/>
    </row>
    <row r="32" spans="2:16" ht="29.25" customHeight="1" x14ac:dyDescent="0.25">
      <c r="B32" s="22" t="s">
        <v>130</v>
      </c>
      <c r="C32" s="30" t="s">
        <v>111</v>
      </c>
      <c r="D32" s="30" t="s">
        <v>44</v>
      </c>
      <c r="E32" s="30"/>
      <c r="F32" s="37">
        <v>68</v>
      </c>
      <c r="G32" s="37"/>
      <c r="H32" s="37">
        <v>0</v>
      </c>
      <c r="I32" s="37">
        <v>0</v>
      </c>
      <c r="J32" s="37">
        <v>0</v>
      </c>
      <c r="K32" s="30"/>
    </row>
    <row r="33" spans="1:11" ht="21.75" customHeight="1" x14ac:dyDescent="0.25">
      <c r="B33" s="30" t="s">
        <v>131</v>
      </c>
      <c r="C33" s="30" t="s">
        <v>111</v>
      </c>
      <c r="D33" s="30" t="s">
        <v>44</v>
      </c>
      <c r="E33" s="30"/>
      <c r="F33" s="37">
        <v>78</v>
      </c>
      <c r="G33" s="37"/>
      <c r="H33" s="37">
        <v>0</v>
      </c>
      <c r="I33" s="37">
        <v>0</v>
      </c>
      <c r="J33" s="37">
        <v>0</v>
      </c>
      <c r="K33" s="30"/>
    </row>
    <row r="34" spans="1:11" ht="19.5" customHeight="1" x14ac:dyDescent="0.25">
      <c r="B34" s="44" t="s">
        <v>116</v>
      </c>
      <c r="C34" s="30" t="s">
        <v>117</v>
      </c>
      <c r="D34" s="30" t="s">
        <v>44</v>
      </c>
      <c r="E34" s="30"/>
      <c r="F34" s="37">
        <v>75</v>
      </c>
      <c r="G34" s="37"/>
      <c r="H34" s="37">
        <v>650</v>
      </c>
      <c r="I34" s="37">
        <v>650</v>
      </c>
      <c r="J34" s="37">
        <v>650</v>
      </c>
      <c r="K34" s="30"/>
    </row>
    <row r="35" spans="1:11" ht="44.25" customHeight="1" x14ac:dyDescent="0.25">
      <c r="B35" s="22" t="s">
        <v>142</v>
      </c>
      <c r="C35" s="30" t="s">
        <v>111</v>
      </c>
      <c r="D35" s="30" t="s">
        <v>44</v>
      </c>
      <c r="E35" s="30"/>
      <c r="F35" s="37">
        <v>153</v>
      </c>
      <c r="G35" s="37"/>
      <c r="H35" s="37">
        <v>8245</v>
      </c>
      <c r="I35" s="37">
        <v>8245</v>
      </c>
      <c r="J35" s="37">
        <v>8245</v>
      </c>
      <c r="K35" s="32" t="s">
        <v>145</v>
      </c>
    </row>
    <row r="36" spans="1:11" ht="25.9" customHeight="1" x14ac:dyDescent="0.25">
      <c r="B36" s="22" t="s">
        <v>118</v>
      </c>
      <c r="C36" s="30" t="s">
        <v>111</v>
      </c>
      <c r="D36" s="30" t="s">
        <v>44</v>
      </c>
      <c r="E36" s="30"/>
      <c r="F36" s="37">
        <v>1009</v>
      </c>
      <c r="G36" s="37"/>
      <c r="H36" s="37">
        <v>4500</v>
      </c>
      <c r="I36" s="37">
        <v>4500</v>
      </c>
      <c r="J36" s="37">
        <v>4500</v>
      </c>
      <c r="K36" s="30"/>
    </row>
    <row r="37" spans="1:11" ht="41.25" customHeight="1" x14ac:dyDescent="0.25">
      <c r="B37" s="22" t="s">
        <v>119</v>
      </c>
      <c r="C37" s="30" t="s">
        <v>111</v>
      </c>
      <c r="D37" s="30" t="s">
        <v>44</v>
      </c>
      <c r="E37" s="30"/>
      <c r="F37" s="37">
        <v>990</v>
      </c>
      <c r="G37" s="37"/>
      <c r="H37" s="37">
        <v>1990</v>
      </c>
      <c r="I37" s="37">
        <v>1990</v>
      </c>
      <c r="J37" s="37">
        <v>1990</v>
      </c>
      <c r="K37" s="30"/>
    </row>
    <row r="38" spans="1:11" ht="25.9" customHeight="1" x14ac:dyDescent="0.25">
      <c r="B38" s="368" t="s">
        <v>120</v>
      </c>
      <c r="C38" s="30" t="s">
        <v>111</v>
      </c>
      <c r="D38" s="30" t="s">
        <v>44</v>
      </c>
      <c r="E38" s="30"/>
      <c r="F38" s="37">
        <v>10835.9</v>
      </c>
      <c r="G38" s="37"/>
      <c r="H38" s="37">
        <v>28845</v>
      </c>
      <c r="I38" s="37">
        <v>28845</v>
      </c>
      <c r="J38" s="37">
        <v>28845</v>
      </c>
      <c r="K38" s="32" t="s">
        <v>146</v>
      </c>
    </row>
    <row r="39" spans="1:11" ht="16.5" customHeight="1" x14ac:dyDescent="0.25">
      <c r="B39" s="369"/>
      <c r="C39" s="30" t="s">
        <v>121</v>
      </c>
      <c r="D39" s="30" t="s">
        <v>47</v>
      </c>
      <c r="E39" s="30"/>
      <c r="F39" s="37">
        <f>+F38/25</f>
        <v>433.43599999999998</v>
      </c>
      <c r="G39" s="37"/>
      <c r="H39" s="37">
        <v>801.25</v>
      </c>
      <c r="I39" s="37">
        <v>801.25</v>
      </c>
      <c r="J39" s="37">
        <v>801.25</v>
      </c>
      <c r="K39" s="22"/>
    </row>
    <row r="40" spans="1:11" ht="25.9" customHeight="1" x14ac:dyDescent="0.25">
      <c r="B40" s="22" t="s">
        <v>122</v>
      </c>
      <c r="C40" s="30" t="s">
        <v>111</v>
      </c>
      <c r="D40" s="30" t="s">
        <v>44</v>
      </c>
      <c r="E40" s="30"/>
      <c r="F40" s="37">
        <v>120</v>
      </c>
      <c r="G40" s="37"/>
      <c r="H40" s="37">
        <v>120</v>
      </c>
      <c r="I40" s="37">
        <v>120</v>
      </c>
      <c r="J40" s="37">
        <v>120</v>
      </c>
      <c r="K40" s="30"/>
    </row>
    <row r="41" spans="1:11" ht="25.9" customHeight="1" x14ac:dyDescent="0.25">
      <c r="B41" s="22" t="s">
        <v>123</v>
      </c>
      <c r="C41" s="30" t="s">
        <v>111</v>
      </c>
      <c r="D41" s="30" t="s">
        <v>44</v>
      </c>
      <c r="E41" s="30"/>
      <c r="F41" s="37">
        <v>500</v>
      </c>
      <c r="G41" s="37"/>
      <c r="H41" s="37">
        <v>980</v>
      </c>
      <c r="I41" s="37">
        <v>980</v>
      </c>
      <c r="J41" s="37">
        <v>980</v>
      </c>
      <c r="K41" s="30"/>
    </row>
    <row r="42" spans="1:11" ht="25.9" customHeight="1" x14ac:dyDescent="0.25">
      <c r="B42" s="22" t="s">
        <v>124</v>
      </c>
      <c r="C42" s="30" t="s">
        <v>111</v>
      </c>
      <c r="D42" s="30" t="s">
        <v>44</v>
      </c>
      <c r="E42" s="30"/>
      <c r="F42" s="37">
        <v>980</v>
      </c>
      <c r="G42" s="37"/>
      <c r="H42" s="37">
        <v>1980</v>
      </c>
      <c r="I42" s="37">
        <v>1980</v>
      </c>
      <c r="J42" s="37">
        <v>1980</v>
      </c>
      <c r="K42" s="30"/>
    </row>
    <row r="43" spans="1:11" ht="15.75" customHeight="1" x14ac:dyDescent="0.25">
      <c r="B43" s="22" t="s">
        <v>125</v>
      </c>
      <c r="C43" s="30" t="s">
        <v>111</v>
      </c>
      <c r="D43" s="30" t="s">
        <v>44</v>
      </c>
      <c r="E43" s="30"/>
      <c r="F43" s="37">
        <v>45070.7</v>
      </c>
      <c r="G43" s="37">
        <v>45070.6</v>
      </c>
      <c r="H43" s="37">
        <v>80002.5</v>
      </c>
      <c r="I43" s="37">
        <v>80002.5</v>
      </c>
      <c r="J43" s="37">
        <v>80002.5</v>
      </c>
      <c r="K43" s="30"/>
    </row>
    <row r="44" spans="1:11" ht="16.5" customHeight="1" x14ac:dyDescent="0.25">
      <c r="B44" s="22" t="s">
        <v>126</v>
      </c>
      <c r="C44" s="30" t="s">
        <v>111</v>
      </c>
      <c r="D44" s="30" t="s">
        <v>44</v>
      </c>
      <c r="E44" s="30"/>
      <c r="F44" s="37">
        <v>1000</v>
      </c>
      <c r="G44" s="37"/>
      <c r="H44" s="37">
        <v>1000</v>
      </c>
      <c r="I44" s="37">
        <v>1000</v>
      </c>
      <c r="J44" s="37">
        <v>1000</v>
      </c>
      <c r="K44" s="30"/>
    </row>
    <row r="45" spans="1:11" ht="17.25" x14ac:dyDescent="0.25">
      <c r="B45" s="3"/>
      <c r="C45" s="3"/>
      <c r="D45" s="3"/>
      <c r="E45" s="3"/>
      <c r="F45" s="3"/>
      <c r="G45" s="3"/>
      <c r="H45" s="3"/>
      <c r="I45" s="3"/>
      <c r="J45" s="3"/>
    </row>
    <row r="46" spans="1:11" ht="15.75" x14ac:dyDescent="0.25">
      <c r="A46" s="12" t="s">
        <v>53</v>
      </c>
      <c r="C46" s="13"/>
      <c r="D46" s="13"/>
      <c r="E46" s="13"/>
      <c r="F46" s="13"/>
      <c r="G46" s="13"/>
      <c r="H46" s="35"/>
      <c r="I46" s="13"/>
      <c r="J46" s="13"/>
    </row>
    <row r="47" spans="1:11" x14ac:dyDescent="0.25">
      <c r="A47" s="14"/>
      <c r="C47" s="15"/>
      <c r="D47" s="15"/>
      <c r="E47" s="15"/>
      <c r="F47" s="15"/>
      <c r="G47" s="15"/>
      <c r="H47" s="15"/>
      <c r="I47" s="15"/>
      <c r="J47" s="15"/>
    </row>
    <row r="48" spans="1:11" x14ac:dyDescent="0.25">
      <c r="A48" s="16" t="s">
        <v>54</v>
      </c>
      <c r="C48" s="17"/>
      <c r="D48" s="17"/>
      <c r="E48" s="13"/>
      <c r="F48" s="13"/>
      <c r="G48" s="13"/>
      <c r="H48" s="13"/>
      <c r="I48" s="13"/>
      <c r="J48" s="13"/>
    </row>
    <row r="49" spans="1:19" x14ac:dyDescent="0.25">
      <c r="B49" s="17"/>
      <c r="C49" s="17"/>
      <c r="D49" s="17"/>
      <c r="E49" s="13"/>
      <c r="F49" s="13"/>
      <c r="G49" s="13"/>
      <c r="H49" s="13"/>
      <c r="I49" s="13"/>
      <c r="J49" s="13"/>
    </row>
    <row r="50" spans="1:19" x14ac:dyDescent="0.25">
      <c r="B50" s="17"/>
      <c r="C50" s="17"/>
      <c r="D50" s="17"/>
      <c r="E50" s="13"/>
      <c r="F50" s="13"/>
      <c r="G50" s="13"/>
      <c r="H50" s="13"/>
      <c r="I50" s="13"/>
      <c r="J50" s="13"/>
    </row>
    <row r="51" spans="1:19" x14ac:dyDescent="0.25">
      <c r="B51" s="17"/>
      <c r="C51" s="17"/>
      <c r="D51" s="17"/>
      <c r="E51" s="13"/>
      <c r="F51" s="13"/>
      <c r="G51" s="13"/>
      <c r="H51" s="13"/>
      <c r="I51" s="13"/>
      <c r="J51" s="13"/>
    </row>
    <row r="52" spans="1:19" x14ac:dyDescent="0.25">
      <c r="B52" s="17"/>
      <c r="C52" s="17"/>
      <c r="D52" s="17"/>
      <c r="E52" s="13"/>
      <c r="F52" s="13"/>
      <c r="G52" s="13"/>
      <c r="H52" s="13"/>
      <c r="I52" s="13"/>
      <c r="J52" s="13"/>
    </row>
    <row r="53" spans="1:19" x14ac:dyDescent="0.25">
      <c r="A53" s="16" t="s">
        <v>55</v>
      </c>
      <c r="E53" s="13"/>
      <c r="F53" s="13"/>
      <c r="G53" s="13"/>
      <c r="H53" s="13"/>
      <c r="I53" s="13"/>
      <c r="J53" s="13"/>
    </row>
    <row r="54" spans="1:19" ht="62.25" customHeight="1" x14ac:dyDescent="0.25">
      <c r="B54" s="360"/>
      <c r="C54" s="361"/>
      <c r="D54" s="361"/>
      <c r="E54" s="362"/>
      <c r="F54" s="13"/>
      <c r="G54" s="13"/>
      <c r="H54" s="13"/>
      <c r="I54" s="13"/>
      <c r="J54" s="13"/>
    </row>
    <row r="55" spans="1:19" ht="17.25" x14ac:dyDescent="0.25">
      <c r="B55" s="3"/>
      <c r="C55" s="3"/>
      <c r="D55" s="3"/>
      <c r="E55" s="13"/>
      <c r="F55" s="13"/>
      <c r="G55" s="13"/>
      <c r="H55" s="13"/>
      <c r="I55" s="13"/>
      <c r="J55" s="13"/>
    </row>
    <row r="56" spans="1:19" x14ac:dyDescent="0.25">
      <c r="A56" s="7" t="s">
        <v>56</v>
      </c>
    </row>
    <row r="57" spans="1:19" x14ac:dyDescent="0.25">
      <c r="F57" s="84"/>
    </row>
    <row r="58" spans="1:19" ht="43.5" customHeight="1" x14ac:dyDescent="0.25">
      <c r="B58" s="363" t="s">
        <v>95</v>
      </c>
      <c r="C58" s="4" t="s">
        <v>96</v>
      </c>
      <c r="D58" s="4" t="s">
        <v>97</v>
      </c>
      <c r="E58" s="358" t="s">
        <v>98</v>
      </c>
      <c r="F58" s="358"/>
      <c r="G58" s="358"/>
      <c r="H58" s="358" t="s">
        <v>99</v>
      </c>
      <c r="I58" s="358"/>
      <c r="J58" s="358"/>
      <c r="K58" s="358" t="s">
        <v>100</v>
      </c>
      <c r="L58" s="358"/>
      <c r="M58" s="358"/>
      <c r="N58" s="358" t="s">
        <v>101</v>
      </c>
      <c r="O58" s="358"/>
      <c r="P58" s="358"/>
      <c r="Q58" s="359" t="s">
        <v>102</v>
      </c>
      <c r="R58" s="359"/>
      <c r="S58" s="359"/>
    </row>
    <row r="59" spans="1:19" ht="30" customHeight="1" x14ac:dyDescent="0.25">
      <c r="B59" s="363"/>
      <c r="C59" s="4" t="s">
        <v>35</v>
      </c>
      <c r="D59" s="4" t="s">
        <v>36</v>
      </c>
      <c r="E59" s="19" t="s">
        <v>0</v>
      </c>
      <c r="F59" s="19" t="s">
        <v>1</v>
      </c>
      <c r="G59" s="19" t="s">
        <v>3</v>
      </c>
      <c r="H59" s="19" t="s">
        <v>0</v>
      </c>
      <c r="I59" s="19" t="s">
        <v>1</v>
      </c>
      <c r="J59" s="19" t="s">
        <v>3</v>
      </c>
      <c r="K59" s="19" t="s">
        <v>39</v>
      </c>
      <c r="L59" s="19" t="s">
        <v>38</v>
      </c>
      <c r="M59" s="19" t="s">
        <v>37</v>
      </c>
      <c r="N59" s="19" t="s">
        <v>39</v>
      </c>
      <c r="O59" s="19" t="s">
        <v>38</v>
      </c>
      <c r="P59" s="19" t="s">
        <v>37</v>
      </c>
      <c r="Q59" s="26" t="s">
        <v>0</v>
      </c>
      <c r="R59" s="26" t="s">
        <v>1</v>
      </c>
      <c r="S59" s="26" t="s">
        <v>3</v>
      </c>
    </row>
    <row r="60" spans="1:19" ht="27" customHeight="1" x14ac:dyDescent="0.25">
      <c r="B60" s="22" t="s">
        <v>105</v>
      </c>
      <c r="C60" s="39">
        <f>+'[3]2-ԸՆԴԱՄԵՆԸ ԾԱԽՍԵՐ'!$E$18</f>
        <v>1902959.7799999998</v>
      </c>
      <c r="D60" s="39">
        <f>+'[3]2-ԸՆԴԱՄԵՆԸ ԾԱԽՍԵՐ'!$F$18</f>
        <v>2178314.1</v>
      </c>
      <c r="E60" s="40">
        <f>+K60-C60</f>
        <v>335164.42799999984</v>
      </c>
      <c r="F60" s="40">
        <f>+L60-C60</f>
        <v>352267.45446400018</v>
      </c>
      <c r="G60" s="40">
        <f>+M60-C60</f>
        <v>366396.65955200046</v>
      </c>
      <c r="H60" s="40"/>
      <c r="I60" s="40"/>
      <c r="J60" s="40"/>
      <c r="K60" s="41">
        <f>+'[3]2-ԸՆԴԱՄԵՆԸ ԾԱԽՍԵՐ'!$G$18</f>
        <v>2238124.2079999996</v>
      </c>
      <c r="L60" s="41">
        <f>+'[3]2-ԸՆԴԱՄԵՆԸ ԾԱԽՍԵՐ'!$K$18</f>
        <v>2255227.234464</v>
      </c>
      <c r="M60" s="41">
        <f>+'[3]2-ԸՆԴԱՄԵՆԸ ԾԱԽՍԵՐ'!$L$18</f>
        <v>2269356.4395520003</v>
      </c>
      <c r="N60" s="40"/>
      <c r="O60" s="40"/>
      <c r="P60" s="40"/>
      <c r="Q60" s="43">
        <f>K60+N60</f>
        <v>2238124.2079999996</v>
      </c>
      <c r="R60" s="43">
        <f>L60+O60</f>
        <v>2255227.234464</v>
      </c>
      <c r="S60" s="43">
        <f>M60+P60</f>
        <v>2269356.4395520003</v>
      </c>
    </row>
    <row r="61" spans="1:19" ht="27" x14ac:dyDescent="0.25">
      <c r="B61" s="22" t="s">
        <v>107</v>
      </c>
      <c r="C61" s="39">
        <f>+'[3]2-ԸՆԴԱՄԵՆԸ ԾԱԽՍԵՐ'!$E$24</f>
        <v>41036.699999999997</v>
      </c>
      <c r="D61" s="39">
        <f>+'[3]2-ԸՆԴԱՄԵՆԸ ԾԱԽՍԵՐ'!$F$24</f>
        <v>65271.4</v>
      </c>
      <c r="E61" s="40">
        <f t="shared" ref="E61:E64" si="0">+K61-C61</f>
        <v>28244.300000000003</v>
      </c>
      <c r="F61" s="40">
        <f t="shared" ref="F61:F79" si="1">+L61-C61</f>
        <v>28244.300000000003</v>
      </c>
      <c r="G61" s="40">
        <f t="shared" ref="G61:G79" si="2">+M61-C61</f>
        <v>28244.300000000003</v>
      </c>
      <c r="H61" s="40"/>
      <c r="I61" s="40"/>
      <c r="J61" s="40"/>
      <c r="K61" s="41">
        <f>+'[3]2-ԸՆԴԱՄԵՆԸ ԾԱԽՍԵՐ'!$G$24</f>
        <v>69281</v>
      </c>
      <c r="L61" s="41">
        <f>+'[3]2-ԸՆԴԱՄԵՆԸ ԾԱԽՍԵՐ'!$K$24</f>
        <v>69281</v>
      </c>
      <c r="M61" s="41">
        <f>+'[3]2-ԸՆԴԱՄԵՆԸ ԾԱԽՍԵՐ'!$L$24</f>
        <v>69281</v>
      </c>
      <c r="N61" s="40"/>
      <c r="O61" s="40"/>
      <c r="P61" s="40"/>
      <c r="Q61" s="43">
        <f t="shared" ref="Q61:S76" si="3">K61+N61</f>
        <v>69281</v>
      </c>
      <c r="R61" s="43">
        <f t="shared" si="3"/>
        <v>69281</v>
      </c>
      <c r="S61" s="43">
        <f t="shared" si="3"/>
        <v>69281</v>
      </c>
    </row>
    <row r="62" spans="1:19" x14ac:dyDescent="0.25">
      <c r="B62" s="22" t="s">
        <v>109</v>
      </c>
      <c r="C62" s="39">
        <f>+'[3]2-ԸՆԴԱՄԵՆԸ ԾԱԽՍԵՐ'!$E$29</f>
        <v>1522.21</v>
      </c>
      <c r="D62" s="39">
        <f>+'[3]2-ԸՆԴԱՄԵՆԸ ԾԱԽՍԵՐ'!$F$29</f>
        <v>835.5</v>
      </c>
      <c r="E62" s="40">
        <f t="shared" si="0"/>
        <v>247.78999999999996</v>
      </c>
      <c r="F62" s="40">
        <f t="shared" si="1"/>
        <v>247.78999999999996</v>
      </c>
      <c r="G62" s="40">
        <f t="shared" si="2"/>
        <v>247.78999999999996</v>
      </c>
      <c r="H62" s="40"/>
      <c r="I62" s="40"/>
      <c r="J62" s="40"/>
      <c r="K62" s="41">
        <f>+'[3]2-ԸՆԴԱՄԵՆԸ ԾԱԽՍԵՐ'!$G$29</f>
        <v>1770</v>
      </c>
      <c r="L62" s="41">
        <f>+'[3]2-ԸՆԴԱՄԵՆԸ ԾԱԽՍԵՐ'!$K$29</f>
        <v>1770</v>
      </c>
      <c r="M62" s="41">
        <f>+'[3]2-ԸՆԴԱՄԵՆԸ ԾԱԽՍԵՐ'!$L$29</f>
        <v>1770</v>
      </c>
      <c r="N62" s="40"/>
      <c r="O62" s="40"/>
      <c r="P62" s="40"/>
      <c r="Q62" s="43">
        <f t="shared" si="3"/>
        <v>1770</v>
      </c>
      <c r="R62" s="43">
        <f t="shared" si="3"/>
        <v>1770</v>
      </c>
      <c r="S62" s="43">
        <f t="shared" si="3"/>
        <v>1770</v>
      </c>
    </row>
    <row r="63" spans="1:19" x14ac:dyDescent="0.25">
      <c r="B63" s="22" t="s">
        <v>110</v>
      </c>
      <c r="C63" s="39">
        <f>+'[3]2-ԸՆԴԱՄԵՆԸ ԾԱԽՍԵՐ'!$E$33</f>
        <v>6381.48</v>
      </c>
      <c r="D63" s="39">
        <f>+'[3]2-ԸՆԴԱՄԵՆԸ ԾԱԽՍԵՐ'!$F$33</f>
        <v>12311</v>
      </c>
      <c r="E63" s="40">
        <f t="shared" si="0"/>
        <v>10346.52</v>
      </c>
      <c r="F63" s="40">
        <f t="shared" si="1"/>
        <v>10346.52</v>
      </c>
      <c r="G63" s="40">
        <f t="shared" si="2"/>
        <v>10346.52</v>
      </c>
      <c r="H63" s="40"/>
      <c r="I63" s="40"/>
      <c r="J63" s="40"/>
      <c r="K63" s="41">
        <f>+'[3]2-ԸՆԴԱՄԵՆԸ ԾԱԽՍԵՐ'!$G$33</f>
        <v>16728</v>
      </c>
      <c r="L63" s="41">
        <f>+'[3]2-ԸՆԴԱՄԵՆԸ ԾԱԽՍԵՐ'!$K$33</f>
        <v>16728</v>
      </c>
      <c r="M63" s="41">
        <f>+'[3]2-ԸՆԴԱՄԵՆԸ ԾԱԽՍԵՐ'!$L$33</f>
        <v>16728</v>
      </c>
      <c r="N63" s="40"/>
      <c r="O63" s="40"/>
      <c r="P63" s="40"/>
      <c r="Q63" s="43">
        <f t="shared" si="3"/>
        <v>16728</v>
      </c>
      <c r="R63" s="43">
        <f t="shared" si="3"/>
        <v>16728</v>
      </c>
      <c r="S63" s="43">
        <f t="shared" si="3"/>
        <v>16728</v>
      </c>
    </row>
    <row r="64" spans="1:19" x14ac:dyDescent="0.25">
      <c r="B64" s="22" t="s">
        <v>112</v>
      </c>
      <c r="C64" s="39">
        <f>+'[3]2-ԸՆԴԱՄԵՆԸ ԾԱԽՍԵՐ'!$E$34</f>
        <v>940</v>
      </c>
      <c r="D64" s="39">
        <f>+'[3]2-ԸՆԴԱՄԵՆԸ ԾԱԽՍԵՐ'!$F$34</f>
        <v>1120</v>
      </c>
      <c r="E64" s="40">
        <f t="shared" si="0"/>
        <v>180</v>
      </c>
      <c r="F64" s="40">
        <f t="shared" si="1"/>
        <v>180</v>
      </c>
      <c r="G64" s="40">
        <f t="shared" si="2"/>
        <v>180</v>
      </c>
      <c r="H64" s="40"/>
      <c r="I64" s="40"/>
      <c r="J64" s="40"/>
      <c r="K64" s="41">
        <f>+'[3]2-ԸՆԴԱՄԵՆԸ ԾԱԽՍԵՐ'!$G$34</f>
        <v>1120</v>
      </c>
      <c r="L64" s="41">
        <f>+'[3]2-ԸՆԴԱՄԵՆԸ ԾԱԽՍԵՐ'!$K$34</f>
        <v>1120</v>
      </c>
      <c r="M64" s="41">
        <f>+'[3]2-ԸՆԴԱՄԵՆԸ ԾԱԽՍԵՐ'!$L$34</f>
        <v>1120</v>
      </c>
      <c r="N64" s="40"/>
      <c r="O64" s="40"/>
      <c r="P64" s="40"/>
      <c r="Q64" s="43">
        <f t="shared" si="3"/>
        <v>1120</v>
      </c>
      <c r="R64" s="43">
        <f t="shared" si="3"/>
        <v>1120</v>
      </c>
      <c r="S64" s="43">
        <f t="shared" si="3"/>
        <v>1120</v>
      </c>
    </row>
    <row r="65" spans="2:19" ht="33.6" customHeight="1" x14ac:dyDescent="0.25">
      <c r="B65" s="22" t="str">
        <f>+'[3]2-ԸՆԴԱՄԵՆԸ ԾԱԽՍԵՐ'!$D$35</f>
        <v>Գույքի և սարքավորումների վարձակալություն</v>
      </c>
      <c r="C65" s="39">
        <f>+'[3]2-ԸՆԴԱՄԵՆԸ ԾԱԽՍԵՐ'!$E$35</f>
        <v>41827.599999999999</v>
      </c>
      <c r="D65" s="39"/>
      <c r="E65" s="40">
        <f>+K65-C65</f>
        <v>-2227.5999999999985</v>
      </c>
      <c r="F65" s="40">
        <f t="shared" si="1"/>
        <v>-2227.5999999999985</v>
      </c>
      <c r="G65" s="40">
        <f t="shared" si="2"/>
        <v>-2227.5999999999985</v>
      </c>
      <c r="H65" s="40"/>
      <c r="I65" s="40"/>
      <c r="J65" s="40"/>
      <c r="K65" s="41">
        <f>+'[3]2-ԸՆԴԱՄԵՆԸ ԾԱԽՍԵՐ'!$G$35</f>
        <v>39600</v>
      </c>
      <c r="L65" s="41">
        <f>+'[3]2-ԸՆԴԱՄԵՆԸ ԾԱԽՍԵՐ'!$K$35</f>
        <v>39600</v>
      </c>
      <c r="M65" s="41">
        <f>+'[3]2-ԸՆԴԱՄԵՆԸ ԾԱԽՍԵՐ'!$L$35</f>
        <v>39600</v>
      </c>
      <c r="N65" s="40"/>
      <c r="O65" s="40"/>
      <c r="P65" s="40"/>
      <c r="Q65" s="43"/>
      <c r="R65" s="43"/>
      <c r="S65" s="43"/>
    </row>
    <row r="66" spans="2:19" x14ac:dyDescent="0.25">
      <c r="B66" s="22" t="s">
        <v>113</v>
      </c>
      <c r="C66" s="39">
        <f>+'[3]2-ԸՆԴԱՄԵՆԸ ԾԱԽՍԵՐ'!$E$39</f>
        <v>1431.5</v>
      </c>
      <c r="D66" s="39">
        <f>+'[3]2-ԸՆԴԱՄԵՆԸ ԾԱԽՍԵՐ'!$F$39</f>
        <v>5000</v>
      </c>
      <c r="E66" s="40">
        <f>+K66-C66</f>
        <v>13668.5</v>
      </c>
      <c r="F66" s="40">
        <f t="shared" si="1"/>
        <v>13668.5</v>
      </c>
      <c r="G66" s="40">
        <f t="shared" si="2"/>
        <v>13668.5</v>
      </c>
      <c r="H66" s="40"/>
      <c r="I66" s="40"/>
      <c r="J66" s="40"/>
      <c r="K66" s="41">
        <f>+'[3]2-ԸՆԴԱՄԵՆԸ ԾԱԽՍԵՐ'!$G$37</f>
        <v>15100</v>
      </c>
      <c r="L66" s="41">
        <f>+'[3]2-ԸՆԴԱՄԵՆԸ ԾԱԽՍԵՐ'!$K$37</f>
        <v>15100</v>
      </c>
      <c r="M66" s="41">
        <f>+'[3]2-ԸՆԴԱՄԵՆԸ ԾԱԽՍԵՐ'!$L$37</f>
        <v>15100</v>
      </c>
      <c r="N66" s="40"/>
      <c r="O66" s="40"/>
      <c r="P66" s="40"/>
      <c r="Q66" s="43">
        <f t="shared" si="3"/>
        <v>15100</v>
      </c>
      <c r="R66" s="43">
        <f t="shared" si="3"/>
        <v>15100</v>
      </c>
      <c r="S66" s="43">
        <f t="shared" si="3"/>
        <v>15100</v>
      </c>
    </row>
    <row r="67" spans="2:19" x14ac:dyDescent="0.25">
      <c r="B67" s="22" t="s">
        <v>114</v>
      </c>
      <c r="C67" s="39">
        <f>+'[3]2-ԸՆԴԱՄԵՆԸ ԾԱԽՍԵՐ'!$E$42</f>
        <v>17716.7</v>
      </c>
      <c r="D67" s="39">
        <f>+'[3]2-ԸՆԴԱՄԵՆԸ ԾԱԽՍԵՐ'!$F$42</f>
        <v>25631</v>
      </c>
      <c r="E67" s="40">
        <f t="shared" ref="E67:E68" si="4">+K67-C67</f>
        <v>5284.2999999999993</v>
      </c>
      <c r="F67" s="40">
        <f t="shared" si="1"/>
        <v>5184.2999999999993</v>
      </c>
      <c r="G67" s="40">
        <f t="shared" si="2"/>
        <v>5184.2999999999993</v>
      </c>
      <c r="H67" s="40"/>
      <c r="I67" s="40"/>
      <c r="J67" s="40"/>
      <c r="K67" s="41">
        <f>+'[3]2-ԸՆԴԱՄԵՆԸ ԾԱԽՍԵՐ'!$G$42</f>
        <v>23001</v>
      </c>
      <c r="L67" s="41">
        <f>+'[3]2-ԸՆԴԱՄԵՆԸ ԾԱԽՍԵՐ'!$K$42</f>
        <v>22901</v>
      </c>
      <c r="M67" s="41">
        <f>+'[3]2-ԸՆԴԱՄԵՆԸ ԾԱԽՍԵՐ'!$L$42</f>
        <v>22901</v>
      </c>
      <c r="N67" s="40"/>
      <c r="O67" s="40"/>
      <c r="P67" s="40"/>
      <c r="Q67" s="43">
        <f t="shared" si="3"/>
        <v>23001</v>
      </c>
      <c r="R67" s="43">
        <f t="shared" si="3"/>
        <v>22901</v>
      </c>
      <c r="S67" s="43">
        <f t="shared" si="3"/>
        <v>22901</v>
      </c>
    </row>
    <row r="68" spans="2:19" x14ac:dyDescent="0.25">
      <c r="B68" s="22" t="s">
        <v>115</v>
      </c>
      <c r="C68" s="39">
        <f>+'[3]2-ԸՆԴԱՄԵՆԸ ԾԱԽՍԵՐ'!$E$44</f>
        <v>3630.85</v>
      </c>
      <c r="D68" s="39">
        <f>+'[3]2-ԸՆԴԱՄԵՆԸ ԾԱԽՍԵՐ'!$F$44</f>
        <v>6300</v>
      </c>
      <c r="E68" s="40">
        <f t="shared" si="4"/>
        <v>3169.15</v>
      </c>
      <c r="F68" s="40">
        <f t="shared" si="1"/>
        <v>3169.15</v>
      </c>
      <c r="G68" s="40">
        <f t="shared" si="2"/>
        <v>3169.15</v>
      </c>
      <c r="H68" s="40"/>
      <c r="I68" s="40"/>
      <c r="J68" s="40"/>
      <c r="K68" s="41">
        <f>+'[3]2-ԸՆԴԱՄԵՆԸ ԾԱԽՍԵՐ'!$G$44</f>
        <v>6800</v>
      </c>
      <c r="L68" s="41">
        <f>+'[3]2-ԸՆԴԱՄԵՆԸ ԾԱԽՍԵՐ'!$K$44</f>
        <v>6800</v>
      </c>
      <c r="M68" s="41">
        <f>+'[3]2-ԸՆԴԱՄԵՆԸ ԾԱԽՍԵՐ'!$K$44</f>
        <v>6800</v>
      </c>
      <c r="N68" s="40"/>
      <c r="O68" s="40"/>
      <c r="P68" s="40"/>
      <c r="Q68" s="43">
        <f t="shared" si="3"/>
        <v>6800</v>
      </c>
      <c r="R68" s="43">
        <f t="shared" si="3"/>
        <v>6800</v>
      </c>
      <c r="S68" s="43">
        <f t="shared" si="3"/>
        <v>6800</v>
      </c>
    </row>
    <row r="69" spans="2:19" x14ac:dyDescent="0.25">
      <c r="B69" s="22" t="str">
        <f>+'[3]2-ԸՆԴԱՄԵՆԸ ԾԱԽՍԵՐ'!$D$45</f>
        <v>Կառավարչական ծառայություններ</v>
      </c>
      <c r="C69" s="39"/>
      <c r="D69" s="39">
        <f>+'[3]2-ԸՆԴԱՄԵՆԸ ԾԱԽՍԵՐ'!$F$45</f>
        <v>20000</v>
      </c>
      <c r="E69" s="40">
        <f>+K69-C69</f>
        <v>20000</v>
      </c>
      <c r="F69" s="40">
        <f t="shared" si="1"/>
        <v>20000</v>
      </c>
      <c r="G69" s="40">
        <f t="shared" si="2"/>
        <v>20000</v>
      </c>
      <c r="H69" s="40"/>
      <c r="I69" s="40"/>
      <c r="J69" s="40"/>
      <c r="K69" s="41">
        <f>+'[3]2-ԸՆԴԱՄԵՆԸ ԾԱԽՍԵՐ'!$G$45</f>
        <v>20000</v>
      </c>
      <c r="L69" s="41">
        <f>+'[3]2-ԸՆԴԱՄԵՆԸ ԾԱԽՍԵՐ'!$K$45</f>
        <v>20000</v>
      </c>
      <c r="M69" s="41">
        <f>+'[3]2-ԸՆԴԱՄԵՆԸ ԾԱԽՍԵՐ'!$K$45</f>
        <v>20000</v>
      </c>
      <c r="N69" s="40"/>
      <c r="O69" s="40"/>
      <c r="P69" s="40"/>
      <c r="Q69" s="43"/>
      <c r="R69" s="43"/>
      <c r="S69" s="43"/>
    </row>
    <row r="70" spans="2:19" ht="31.5" customHeight="1" x14ac:dyDescent="0.25">
      <c r="B70" s="22" t="s">
        <v>130</v>
      </c>
      <c r="C70" s="39">
        <f>+'[3]2-ԸՆԴԱՄԵՆԸ ԾԱԽՍԵՐ'!$E$43</f>
        <v>230</v>
      </c>
      <c r="D70" s="39">
        <f>+'[3]2-ԸՆԴԱՄԵՆԸ ԾԱԽՍԵՐ'!$F$43</f>
        <v>1600</v>
      </c>
      <c r="E70" s="40">
        <f>+K70-C70</f>
        <v>1370</v>
      </c>
      <c r="F70" s="40">
        <f t="shared" si="1"/>
        <v>1370</v>
      </c>
      <c r="G70" s="40">
        <f t="shared" si="2"/>
        <v>1370</v>
      </c>
      <c r="H70" s="40"/>
      <c r="I70" s="40"/>
      <c r="J70" s="40"/>
      <c r="K70" s="41">
        <f>+'[3]2-ԸՆԴԱՄԵՆԸ ԾԱԽՍԵՐ'!$G$43</f>
        <v>1600</v>
      </c>
      <c r="L70" s="41">
        <f>+'[3]2-ԸՆԴԱՄԵՆԸ ԾԱԽՍԵՐ'!$K$43</f>
        <v>1600</v>
      </c>
      <c r="M70" s="41">
        <f>+'[3]2-ԸՆԴԱՄԵՆԸ ԾԱԽՍԵՐ'!$K$43</f>
        <v>1600</v>
      </c>
      <c r="N70" s="40"/>
      <c r="O70" s="40"/>
      <c r="P70" s="40"/>
      <c r="Q70" s="43">
        <f t="shared" si="3"/>
        <v>1600</v>
      </c>
      <c r="R70" s="43">
        <f t="shared" si="3"/>
        <v>1600</v>
      </c>
      <c r="S70" s="43">
        <f t="shared" si="3"/>
        <v>1600</v>
      </c>
    </row>
    <row r="71" spans="2:19" x14ac:dyDescent="0.25">
      <c r="B71" s="22" t="s">
        <v>131</v>
      </c>
      <c r="C71" s="39">
        <f>+'[3]2-ԸՆԴԱՄԵՆԸ ԾԱԽՍԵՐ'!$E$47</f>
        <v>23015.13</v>
      </c>
      <c r="D71" s="39">
        <f>+'[3]2-ԸՆԴԱՄԵՆԸ ԾԱԽՍԵՐ'!$F$47</f>
        <v>3000</v>
      </c>
      <c r="E71" s="40">
        <f t="shared" ref="E71:E73" si="5">+K71-C71</f>
        <v>-13015.130000000001</v>
      </c>
      <c r="F71" s="40">
        <f t="shared" si="1"/>
        <v>-13015.130000000001</v>
      </c>
      <c r="G71" s="40">
        <f t="shared" si="2"/>
        <v>-13015.130000000001</v>
      </c>
      <c r="H71" s="40"/>
      <c r="I71" s="40"/>
      <c r="J71" s="40"/>
      <c r="K71" s="41">
        <f>+'[3]2-ԸՆԴԱՄԵՆԸ ԾԱԽՍԵՐ'!$G$47</f>
        <v>10000</v>
      </c>
      <c r="L71" s="41">
        <f>+'[3]2-ԸՆԴԱՄԵՆԸ ԾԱԽՍԵՐ'!$K$47</f>
        <v>10000</v>
      </c>
      <c r="M71" s="41">
        <f>+'[3]2-ԸՆԴԱՄԵՆԸ ԾԱԽՍԵՐ'!$K$47</f>
        <v>10000</v>
      </c>
      <c r="N71" s="40"/>
      <c r="O71" s="40"/>
      <c r="P71" s="40"/>
      <c r="Q71" s="43">
        <f t="shared" si="3"/>
        <v>10000</v>
      </c>
      <c r="R71" s="43">
        <f t="shared" si="3"/>
        <v>10000</v>
      </c>
      <c r="S71" s="43">
        <f t="shared" si="3"/>
        <v>10000</v>
      </c>
    </row>
    <row r="72" spans="2:19" ht="30.75" customHeight="1" x14ac:dyDescent="0.25">
      <c r="B72" s="22" t="s">
        <v>116</v>
      </c>
      <c r="C72" s="39">
        <f>+'[3]2-ԸՆԴԱՄԵՆԸ ԾԱԽՍԵՐ'!$E$48</f>
        <v>21746.5</v>
      </c>
      <c r="D72" s="39">
        <f>+'[3]2-ԸՆԴԱՄԵՆԸ ԾԱԽՍԵՐ'!$F$48</f>
        <v>21400</v>
      </c>
      <c r="E72" s="40">
        <f t="shared" si="5"/>
        <v>13037.5</v>
      </c>
      <c r="F72" s="40">
        <f t="shared" si="1"/>
        <v>13037.5</v>
      </c>
      <c r="G72" s="40">
        <f t="shared" si="2"/>
        <v>13037.5</v>
      </c>
      <c r="H72" s="40"/>
      <c r="I72" s="40"/>
      <c r="J72" s="40"/>
      <c r="K72" s="41">
        <f>+'[3]2-ԸՆԴԱՄԵՆԸ ԾԱԽՍԵՐ'!$G$48</f>
        <v>34784</v>
      </c>
      <c r="L72" s="41">
        <f>+'[3]2-ԸՆԴԱՄԵՆԸ ԾԱԽՍԵՐ'!$K$48</f>
        <v>34784</v>
      </c>
      <c r="M72" s="41">
        <f>+'[3]2-ԸՆԴԱՄԵՆԸ ԾԱԽՍԵՐ'!$K$48</f>
        <v>34784</v>
      </c>
      <c r="N72" s="40"/>
      <c r="O72" s="40"/>
      <c r="P72" s="40"/>
      <c r="Q72" s="43">
        <f t="shared" si="3"/>
        <v>34784</v>
      </c>
      <c r="R72" s="43">
        <f t="shared" si="3"/>
        <v>34784</v>
      </c>
      <c r="S72" s="43">
        <f t="shared" si="3"/>
        <v>34784</v>
      </c>
    </row>
    <row r="73" spans="2:19" ht="24" customHeight="1" x14ac:dyDescent="0.25">
      <c r="B73" s="22" t="str">
        <f>+'[3]2-ԸՆԴԱՄԵՆԸ ԾԱԽՍԵՐ'!$D$49</f>
        <v>Մասնագիտական ծառայություններ</v>
      </c>
      <c r="C73" s="39">
        <f>+'[3]2-ԸՆԴԱՄԵՆԸ ԾԱԽՍԵՐ'!$E$49</f>
        <v>21613</v>
      </c>
      <c r="D73" s="39">
        <f>+'[3]2-ԸՆԴԱՄԵՆԸ ԾԱԽՍԵՐ'!$F$49</f>
        <v>36430</v>
      </c>
      <c r="E73" s="40">
        <f t="shared" si="5"/>
        <v>23817</v>
      </c>
      <c r="F73" s="40">
        <f t="shared" si="1"/>
        <v>23817</v>
      </c>
      <c r="G73" s="40">
        <f t="shared" si="2"/>
        <v>23817</v>
      </c>
      <c r="H73" s="40"/>
      <c r="I73" s="40"/>
      <c r="J73" s="40"/>
      <c r="K73" s="41">
        <f>+'[3]2-ԸՆԴԱՄԵՆԸ ԾԱԽՍԵՐ'!$G$49</f>
        <v>45430</v>
      </c>
      <c r="L73" s="41">
        <f>+'[3]2-ԸՆԴԱՄԵՆԸ ԾԱԽՍԵՐ'!$K$49</f>
        <v>45430</v>
      </c>
      <c r="M73" s="41">
        <f>+'[3]2-ԸՆԴԱՄԵՆԸ ԾԱԽՍԵՐ'!$K$49</f>
        <v>45430</v>
      </c>
      <c r="N73" s="40"/>
      <c r="O73" s="40"/>
      <c r="P73" s="40"/>
      <c r="Q73" s="43">
        <f t="shared" si="3"/>
        <v>45430</v>
      </c>
      <c r="R73" s="43">
        <f t="shared" si="3"/>
        <v>45430</v>
      </c>
      <c r="S73" s="43">
        <f t="shared" si="3"/>
        <v>45430</v>
      </c>
    </row>
    <row r="74" spans="2:19" ht="24" customHeight="1" x14ac:dyDescent="0.25">
      <c r="B74" s="22" t="str">
        <f>+'[3]2-ԸՆԴԱՄԵՆԸ ԾԱԽՍԵՐ'!$D$50</f>
        <v>Շենքերի և կառույցների ընթացիկ նորոգում և պահպանում</v>
      </c>
      <c r="C74" s="39"/>
      <c r="D74" s="39">
        <f>+'[3]2-ԸՆԴԱՄԵՆԸ ԾԱԽՍԵՐ'!$F$50</f>
        <v>12112.1</v>
      </c>
      <c r="E74" s="40">
        <f>+K74-C74</f>
        <v>5000</v>
      </c>
      <c r="F74" s="40">
        <f t="shared" si="1"/>
        <v>5000</v>
      </c>
      <c r="G74" s="40">
        <f t="shared" si="2"/>
        <v>5000</v>
      </c>
      <c r="H74" s="40"/>
      <c r="I74" s="40"/>
      <c r="J74" s="40"/>
      <c r="K74" s="41">
        <f>+'[3]2-ԸՆԴԱՄԵՆԸ ԾԱԽՍԵՐ'!$G$50</f>
        <v>5000</v>
      </c>
      <c r="L74" s="41">
        <f>+'[3]2-ԸՆԴԱՄԵՆԸ ԾԱԽՍԵՐ'!$K$50</f>
        <v>5000</v>
      </c>
      <c r="M74" s="41">
        <f>+'[3]2-ԸՆԴԱՄԵՆԸ ԾԱԽՍԵՐ'!$K$50</f>
        <v>5000</v>
      </c>
      <c r="N74" s="40"/>
      <c r="O74" s="40"/>
      <c r="P74" s="40"/>
      <c r="Q74" s="43"/>
      <c r="R74" s="43"/>
      <c r="S74" s="43"/>
    </row>
    <row r="75" spans="2:19" ht="32.25" customHeight="1" x14ac:dyDescent="0.25">
      <c r="B75" s="22" t="s">
        <v>118</v>
      </c>
      <c r="C75" s="39">
        <f>+'[3]2-ԸՆԴԱՄԵՆԸ ԾԱԽՍԵՐ'!$E$51</f>
        <v>5499.87</v>
      </c>
      <c r="D75" s="39">
        <f>+'[3]2-ԸՆԴԱՄԵՆԸ ԾԱԽՍԵՐ'!$F$51</f>
        <v>12192</v>
      </c>
      <c r="E75" s="40">
        <f>+K75-C75</f>
        <v>6692.13</v>
      </c>
      <c r="F75" s="40">
        <f t="shared" si="1"/>
        <v>6692.13</v>
      </c>
      <c r="G75" s="40">
        <f t="shared" si="2"/>
        <v>6692.13</v>
      </c>
      <c r="H75" s="40"/>
      <c r="I75" s="40"/>
      <c r="J75" s="40"/>
      <c r="K75" s="41">
        <f>+'[3]2-ԸՆԴԱՄԵՆԸ ԾԱԽՍԵՐ'!$G$51</f>
        <v>12192</v>
      </c>
      <c r="L75" s="41">
        <f>+'[3]2-ԸՆԴԱՄԵՆԸ ԾԱԽՍԵՐ'!$K$51</f>
        <v>12192</v>
      </c>
      <c r="M75" s="41">
        <f>+'[3]2-ԸՆԴԱՄԵՆԸ ԾԱԽՍԵՐ'!$K$51</f>
        <v>12192</v>
      </c>
      <c r="N75" s="40"/>
      <c r="O75" s="40"/>
      <c r="P75" s="40"/>
      <c r="Q75" s="43">
        <f t="shared" si="3"/>
        <v>12192</v>
      </c>
      <c r="R75" s="43">
        <f t="shared" si="3"/>
        <v>12192</v>
      </c>
      <c r="S75" s="43">
        <f t="shared" si="3"/>
        <v>12192</v>
      </c>
    </row>
    <row r="76" spans="2:19" x14ac:dyDescent="0.25">
      <c r="B76" s="22" t="s">
        <v>143</v>
      </c>
      <c r="C76" s="39">
        <f>+'[3]2-ԸՆԴԱՄԵՆԸ ԾԱԽՍԵՐ'!$E$55</f>
        <v>7779.41</v>
      </c>
      <c r="D76" s="39">
        <f>+'[3]2-ԸՆԴԱՄԵՆԸ ԾԱԽՍԵՐ'!$F$55</f>
        <v>7536.1</v>
      </c>
      <c r="E76" s="40">
        <f t="shared" ref="E76:E79" si="6">+K76-C76</f>
        <v>-243.30999999999949</v>
      </c>
      <c r="F76" s="40">
        <f t="shared" si="1"/>
        <v>-243.30999999999949</v>
      </c>
      <c r="G76" s="40">
        <f t="shared" si="2"/>
        <v>-243.30999999999949</v>
      </c>
      <c r="H76" s="40"/>
      <c r="I76" s="40"/>
      <c r="J76" s="40"/>
      <c r="K76" s="41">
        <f>+'[3]2-ԸՆԴԱՄԵՆԸ ԾԱԽՍԵՐ'!$G$55</f>
        <v>7536.1</v>
      </c>
      <c r="L76" s="41">
        <f>+'[3]2-ԸՆԴԱՄԵՆԸ ԾԱԽՍԵՐ'!$K$55</f>
        <v>7536.1</v>
      </c>
      <c r="M76" s="41">
        <f>+'[3]2-ԸՆԴԱՄԵՆԸ ԾԱԽՍԵՐ'!$K$55</f>
        <v>7536.1</v>
      </c>
      <c r="N76" s="40"/>
      <c r="O76" s="40"/>
      <c r="P76" s="40"/>
      <c r="Q76" s="43">
        <f t="shared" si="3"/>
        <v>7536.1</v>
      </c>
      <c r="R76" s="43">
        <f t="shared" si="3"/>
        <v>7536.1</v>
      </c>
      <c r="S76" s="43">
        <f t="shared" si="3"/>
        <v>7536.1</v>
      </c>
    </row>
    <row r="77" spans="2:19" x14ac:dyDescent="0.25">
      <c r="B77" s="22" t="s">
        <v>120</v>
      </c>
      <c r="C77" s="39">
        <f>+'[3]2-ԸՆԴԱՄԵՆԸ ԾԱԽՍԵՐ'!$E$60</f>
        <v>9826.19</v>
      </c>
      <c r="D77" s="39">
        <f>+'[3]2-ԸՆԴԱՄԵՆԸ ԾԱԽՍԵՐ'!$F$60</f>
        <v>23600</v>
      </c>
      <c r="E77" s="40">
        <f t="shared" si="6"/>
        <v>13773.81</v>
      </c>
      <c r="F77" s="40">
        <f t="shared" si="1"/>
        <v>13773.81</v>
      </c>
      <c r="G77" s="40">
        <f t="shared" si="2"/>
        <v>13773.81</v>
      </c>
      <c r="H77" s="40"/>
      <c r="I77" s="40"/>
      <c r="J77" s="40"/>
      <c r="K77" s="41">
        <f>+'[3]2-ԸՆԴԱՄԵՆԸ ԾԱԽՍԵՐ'!$G$60</f>
        <v>23600</v>
      </c>
      <c r="L77" s="41">
        <f>+'[3]2-ԸՆԴԱՄԵՆԸ ԾԱԽՍԵՐ'!$K$60</f>
        <v>23600</v>
      </c>
      <c r="M77" s="41">
        <f>+'[3]2-ԸՆԴԱՄԵՆԸ ԾԱԽՍԵՐ'!$K$60</f>
        <v>23600</v>
      </c>
      <c r="N77" s="40"/>
      <c r="O77" s="40"/>
      <c r="P77" s="40"/>
      <c r="Q77" s="43">
        <f t="shared" ref="Q77:S80" si="7">K77+N77</f>
        <v>23600</v>
      </c>
      <c r="R77" s="43">
        <f t="shared" si="7"/>
        <v>23600</v>
      </c>
      <c r="S77" s="43">
        <f t="shared" si="7"/>
        <v>23600</v>
      </c>
    </row>
    <row r="78" spans="2:19" ht="27" x14ac:dyDescent="0.25">
      <c r="B78" s="22" t="s">
        <v>124</v>
      </c>
      <c r="C78" s="39">
        <f>+'[3]2-ԸՆԴԱՄԵՆԸ ԾԱԽՍԵՐ'!$E$62</f>
        <v>1623.1</v>
      </c>
      <c r="D78" s="39">
        <f>+'[3]2-ԸՆԴԱՄԵՆԸ ԾԱԽՍԵՐ'!$F$62</f>
        <v>3142.3</v>
      </c>
      <c r="E78" s="40">
        <f t="shared" si="6"/>
        <v>2871.2000000000003</v>
      </c>
      <c r="F78" s="40">
        <f t="shared" si="1"/>
        <v>2871.2000000000003</v>
      </c>
      <c r="G78" s="40">
        <f t="shared" si="2"/>
        <v>2871.2000000000003</v>
      </c>
      <c r="H78" s="40"/>
      <c r="I78" s="40"/>
      <c r="J78" s="40"/>
      <c r="K78" s="41">
        <f>+'[3]2-ԸՆԴԱՄԵՆԸ ԾԱԽՍԵՐ'!$G$62</f>
        <v>4494.3</v>
      </c>
      <c r="L78" s="41">
        <f>+'[3]2-ԸՆԴԱՄԵՆԸ ԾԱԽՍԵՐ'!$K$62</f>
        <v>4494.3</v>
      </c>
      <c r="M78" s="41">
        <f>+'[3]2-ԸՆԴԱՄԵՆԸ ԾԱԽՍԵՐ'!$K$62</f>
        <v>4494.3</v>
      </c>
      <c r="N78" s="40"/>
      <c r="O78" s="40"/>
      <c r="P78" s="40"/>
      <c r="Q78" s="43">
        <f t="shared" si="7"/>
        <v>4494.3</v>
      </c>
      <c r="R78" s="43">
        <f t="shared" si="7"/>
        <v>4494.3</v>
      </c>
      <c r="S78" s="43">
        <f t="shared" si="7"/>
        <v>4494.3</v>
      </c>
    </row>
    <row r="79" spans="2:19" x14ac:dyDescent="0.25">
      <c r="B79" s="22" t="s">
        <v>126</v>
      </c>
      <c r="C79" s="39">
        <f>+'[3]2-ԸՆԴԱՄԵՆԸ ԾԱԽՍԵՐ'!$E$74</f>
        <v>2153.2399999999998</v>
      </c>
      <c r="D79" s="39">
        <f>+'[3]2-ԸՆԴԱՄԵՆԸ ԾԱԽՍԵՐ'!$F$74</f>
        <v>1980.3</v>
      </c>
      <c r="E79" s="40">
        <f t="shared" si="6"/>
        <v>1425.2600000000002</v>
      </c>
      <c r="F79" s="40">
        <f t="shared" si="1"/>
        <v>1425.2600000000002</v>
      </c>
      <c r="G79" s="40">
        <f t="shared" si="2"/>
        <v>1425.2600000000002</v>
      </c>
      <c r="H79" s="40"/>
      <c r="I79" s="40"/>
      <c r="J79" s="40"/>
      <c r="K79" s="41">
        <f>+'[3]2-ԸՆԴԱՄԵՆԸ ԾԱԽՍԵՐ'!$G$74</f>
        <v>3578.5</v>
      </c>
      <c r="L79" s="41">
        <f>+'[3]2-ԸՆԴԱՄԵՆԸ ԾԱԽՍԵՐ'!$K$74</f>
        <v>3578.5</v>
      </c>
      <c r="M79" s="41">
        <f>+'[3]2-ԸՆԴԱՄԵՆԸ ԾԱԽՍԵՐ'!$K$74</f>
        <v>3578.5</v>
      </c>
      <c r="N79" s="40"/>
      <c r="O79" s="40"/>
      <c r="P79" s="40"/>
      <c r="Q79" s="43">
        <f t="shared" si="7"/>
        <v>3578.5</v>
      </c>
      <c r="R79" s="43">
        <f t="shared" si="7"/>
        <v>3578.5</v>
      </c>
      <c r="S79" s="43">
        <f t="shared" si="7"/>
        <v>3578.5</v>
      </c>
    </row>
    <row r="80" spans="2:19" x14ac:dyDescent="0.25">
      <c r="B80" s="22"/>
      <c r="C80" s="39"/>
      <c r="D80" s="39"/>
      <c r="E80" s="40"/>
      <c r="F80" s="40"/>
      <c r="G80" s="40"/>
      <c r="H80" s="40"/>
      <c r="I80" s="40"/>
      <c r="J80" s="40"/>
      <c r="K80" s="41"/>
      <c r="L80" s="41">
        <f t="shared" ref="L80" si="8">C80+F80+I80</f>
        <v>0</v>
      </c>
      <c r="M80" s="41">
        <f t="shared" ref="M80" si="9">C80+G80+J80</f>
        <v>0</v>
      </c>
      <c r="N80" s="40"/>
      <c r="O80" s="40"/>
      <c r="P80" s="40"/>
      <c r="Q80" s="43">
        <f t="shared" si="7"/>
        <v>0</v>
      </c>
      <c r="R80" s="43">
        <f t="shared" si="7"/>
        <v>0</v>
      </c>
      <c r="S80" s="43">
        <f t="shared" si="7"/>
        <v>0</v>
      </c>
    </row>
    <row r="81" spans="2:19" ht="28.5" x14ac:dyDescent="0.25">
      <c r="B81" s="18" t="s">
        <v>73</v>
      </c>
      <c r="C81" s="39"/>
      <c r="D81" s="39"/>
      <c r="E81" s="41">
        <f t="shared" ref="E81:K81" si="10">SUM(E60:E80)</f>
        <v>468805.84799999988</v>
      </c>
      <c r="F81" s="41">
        <f t="shared" si="10"/>
        <v>485808.87446400023</v>
      </c>
      <c r="G81" s="41">
        <f t="shared" si="10"/>
        <v>499938.0795520005</v>
      </c>
      <c r="H81" s="41">
        <f t="shared" si="10"/>
        <v>0</v>
      </c>
      <c r="I81" s="41">
        <f t="shared" si="10"/>
        <v>0</v>
      </c>
      <c r="J81" s="41">
        <f t="shared" si="10"/>
        <v>0</v>
      </c>
      <c r="K81" s="41">
        <f t="shared" si="10"/>
        <v>2579739.1079999995</v>
      </c>
      <c r="L81" s="41">
        <f t="shared" ref="L81:M81" si="11">SUM(L60:L80)</f>
        <v>2596742.1344639999</v>
      </c>
      <c r="M81" s="41">
        <f t="shared" si="11"/>
        <v>2610871.3395520002</v>
      </c>
      <c r="N81" s="42" t="s">
        <v>2</v>
      </c>
      <c r="O81" s="42" t="s">
        <v>2</v>
      </c>
      <c r="P81" s="42" t="s">
        <v>2</v>
      </c>
      <c r="Q81" s="43" t="s">
        <v>2</v>
      </c>
      <c r="R81" s="43" t="s">
        <v>2</v>
      </c>
      <c r="S81" s="43" t="s">
        <v>2</v>
      </c>
    </row>
    <row r="82" spans="2:19" ht="28.5" x14ac:dyDescent="0.25">
      <c r="B82" s="18" t="s">
        <v>60</v>
      </c>
      <c r="C82" s="39">
        <f>SUM(C60:C81)</f>
        <v>2110933.2600000002</v>
      </c>
      <c r="D82" s="39">
        <f>SUM(D60:D81)</f>
        <v>2437775.7999999998</v>
      </c>
      <c r="E82" s="41" t="s">
        <v>72</v>
      </c>
      <c r="F82" s="41" t="s">
        <v>72</v>
      </c>
      <c r="G82" s="41" t="s">
        <v>72</v>
      </c>
      <c r="H82" s="41" t="s">
        <v>72</v>
      </c>
      <c r="I82" s="41" t="s">
        <v>72</v>
      </c>
      <c r="J82" s="41" t="s">
        <v>72</v>
      </c>
      <c r="K82" s="41"/>
      <c r="L82" s="41"/>
      <c r="M82" s="41"/>
      <c r="N82" s="42" t="s">
        <v>2</v>
      </c>
      <c r="O82" s="42" t="s">
        <v>2</v>
      </c>
      <c r="P82" s="42" t="s">
        <v>2</v>
      </c>
      <c r="Q82" s="43" t="s">
        <v>2</v>
      </c>
      <c r="R82" s="43" t="s">
        <v>2</v>
      </c>
      <c r="S82" s="43" t="s">
        <v>2</v>
      </c>
    </row>
    <row r="83" spans="2:19" x14ac:dyDescent="0.25">
      <c r="B83" s="18" t="s">
        <v>61</v>
      </c>
      <c r="C83" s="41">
        <f>SUM(C60:C80)</f>
        <v>2110933.2600000002</v>
      </c>
      <c r="D83" s="41">
        <f>SUM(D60:D80)</f>
        <v>2437775.7999999998</v>
      </c>
      <c r="E83" s="41">
        <f>E81</f>
        <v>468805.84799999988</v>
      </c>
      <c r="F83" s="41">
        <f t="shared" ref="F83:J83" si="12">F81</f>
        <v>485808.87446400023</v>
      </c>
      <c r="G83" s="41">
        <f t="shared" si="12"/>
        <v>499938.0795520005</v>
      </c>
      <c r="H83" s="41">
        <f t="shared" si="12"/>
        <v>0</v>
      </c>
      <c r="I83" s="41">
        <f t="shared" si="12"/>
        <v>0</v>
      </c>
      <c r="J83" s="41">
        <f t="shared" si="12"/>
        <v>0</v>
      </c>
      <c r="K83" s="42">
        <f>K81+K82</f>
        <v>2579739.1079999995</v>
      </c>
      <c r="L83" s="42">
        <f t="shared" ref="L83:M83" si="13">L81+L82</f>
        <v>2596742.1344639999</v>
      </c>
      <c r="M83" s="42">
        <f t="shared" si="13"/>
        <v>2610871.3395520002</v>
      </c>
      <c r="N83" s="42">
        <f>SUM(N60:N80)</f>
        <v>0</v>
      </c>
      <c r="O83" s="42">
        <f t="shared" ref="O83:P83" si="14">SUM(O60:O80)</f>
        <v>0</v>
      </c>
      <c r="P83" s="42">
        <f t="shared" si="14"/>
        <v>0</v>
      </c>
      <c r="Q83" s="43">
        <f>K83+N83</f>
        <v>2579739.1079999995</v>
      </c>
      <c r="R83" s="43">
        <f>L83+O83</f>
        <v>2596742.1344639999</v>
      </c>
      <c r="S83" s="43">
        <f>M83+P83</f>
        <v>2610871.3395520002</v>
      </c>
    </row>
    <row r="84" spans="2:19" x14ac:dyDescent="0.25">
      <c r="D84" s="86"/>
      <c r="K84" s="84">
        <f>+K83-'[3]2-ԸՆԴԱՄԵՆԸ ԾԱԽՍԵՐ'!$G$16</f>
        <v>0</v>
      </c>
    </row>
    <row r="85" spans="2:19" x14ac:dyDescent="0.25">
      <c r="C85" s="84"/>
    </row>
    <row r="86" spans="2:19" x14ac:dyDescent="0.25">
      <c r="D86" s="84"/>
      <c r="E86" s="84"/>
    </row>
    <row r="89" spans="2:19" x14ac:dyDescent="0.25">
      <c r="K89" s="36"/>
    </row>
  </sheetData>
  <mergeCells count="21">
    <mergeCell ref="K58:M58"/>
    <mergeCell ref="N58:P58"/>
    <mergeCell ref="Q58:S58"/>
    <mergeCell ref="B28:B29"/>
    <mergeCell ref="B38:B39"/>
    <mergeCell ref="B54:E54"/>
    <mergeCell ref="B58:B59"/>
    <mergeCell ref="E58:G58"/>
    <mergeCell ref="H58:J58"/>
    <mergeCell ref="F17:J17"/>
    <mergeCell ref="K17:K18"/>
    <mergeCell ref="B26:B27"/>
    <mergeCell ref="B17:B18"/>
    <mergeCell ref="C17:C18"/>
    <mergeCell ref="D17:D18"/>
    <mergeCell ref="E17:E18"/>
    <mergeCell ref="B19:B20"/>
    <mergeCell ref="B21:B22"/>
    <mergeCell ref="K21:K22"/>
    <mergeCell ref="B23:B24"/>
    <mergeCell ref="K23:K24"/>
  </mergeCells>
  <dataValidations count="4">
    <dataValidation type="custom" allowBlank="1" showInputMessage="1" showErrorMessage="1" sqref="N60:P80" xr:uid="{0A99B00A-91F4-4432-9667-F609E7B64FE0}">
      <formula1>"-"</formula1>
    </dataValidation>
    <dataValidation type="list" allowBlank="1" showInputMessage="1" showErrorMessage="1" sqref="D19:D44" xr:uid="{14EA79D6-2F2E-4B77-97C6-5F615401EB8E}">
      <formula1>$V$2:$V$3</formula1>
    </dataValidation>
    <dataValidation showInputMessage="1" showErrorMessage="1" sqref="E19:E44" xr:uid="{782DBC4E-47BF-4B2D-8347-8E04A9A5A3B5}"/>
    <dataValidation type="list" allowBlank="1" showInputMessage="1" showErrorMessage="1" sqref="B13" xr:uid="{3EB8F44D-A937-4706-A6D2-60681001008D}">
      <formula1>$U$2:$U$4</formula1>
    </dataValidation>
  </dataValidations>
  <hyperlinks>
    <hyperlink ref="C12" location="_ftn1" display="_ftn1" xr:uid="{5B9FD03A-ADDA-4DDA-8A02-9E89F331B549}"/>
    <hyperlink ref="D12" location="_ftn2" display="_ftn2" xr:uid="{8ED7F4B2-6FAB-44B7-9B14-F665B4DDEB5B}"/>
    <hyperlink ref="E12" location="_ftn3" display="_ftn3" xr:uid="{84FCE269-76C3-44E7-8C88-BB30E537098F}"/>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99681" r:id="rId3" name="Check Box 1">
              <controlPr defaultSize="0" autoFill="0" autoLine="0" autoPict="0">
                <anchor moveWithCells="1">
                  <from>
                    <xdr:col>1</xdr:col>
                    <xdr:colOff>85725</xdr:colOff>
                    <xdr:row>50</xdr:row>
                    <xdr:rowOff>0</xdr:rowOff>
                  </from>
                  <to>
                    <xdr:col>2</xdr:col>
                    <xdr:colOff>1085850</xdr:colOff>
                    <xdr:row>51</xdr:row>
                    <xdr:rowOff>38100</xdr:rowOff>
                  </to>
                </anchor>
              </controlPr>
            </control>
          </mc:Choice>
        </mc:AlternateContent>
        <mc:AlternateContent xmlns:mc="http://schemas.openxmlformats.org/markup-compatibility/2006">
          <mc:Choice Requires="x14">
            <control shapeId="199682" r:id="rId4" name="Check Box 2">
              <controlPr defaultSize="0" autoFill="0" autoLine="0" autoPict="0">
                <anchor moveWithCells="1">
                  <from>
                    <xdr:col>1</xdr:col>
                    <xdr:colOff>85725</xdr:colOff>
                    <xdr:row>47</xdr:row>
                    <xdr:rowOff>171450</xdr:rowOff>
                  </from>
                  <to>
                    <xdr:col>3</xdr:col>
                    <xdr:colOff>285750</xdr:colOff>
                    <xdr:row>49</xdr:row>
                    <xdr:rowOff>47625</xdr:rowOff>
                  </to>
                </anchor>
              </controlPr>
            </control>
          </mc:Choice>
        </mc:AlternateContent>
        <mc:AlternateContent xmlns:mc="http://schemas.openxmlformats.org/markup-compatibility/2006">
          <mc:Choice Requires="x14">
            <control shapeId="199683" r:id="rId5" name="Check Box 3">
              <controlPr defaultSize="0" autoFill="0" autoLine="0" autoPict="0">
                <anchor moveWithCells="1">
                  <from>
                    <xdr:col>1</xdr:col>
                    <xdr:colOff>85725</xdr:colOff>
                    <xdr:row>49</xdr:row>
                    <xdr:rowOff>28575</xdr:rowOff>
                  </from>
                  <to>
                    <xdr:col>3</xdr:col>
                    <xdr:colOff>285750</xdr:colOff>
                    <xdr:row>50</xdr:row>
                    <xdr:rowOff>9525</xdr:rowOff>
                  </to>
                </anchor>
              </controlPr>
            </control>
          </mc:Choice>
        </mc:AlternateContent>
        <mc:AlternateContent xmlns:mc="http://schemas.openxmlformats.org/markup-compatibility/2006">
          <mc:Choice Requires="x14">
            <control shapeId="199684" r:id="rId6" name="Check Box 4">
              <controlPr defaultSize="0" autoFill="0" autoLine="0" autoPict="0">
                <anchor moveWithCells="1">
                  <from>
                    <xdr:col>1</xdr:col>
                    <xdr:colOff>95250</xdr:colOff>
                    <xdr:row>51</xdr:row>
                    <xdr:rowOff>9525</xdr:rowOff>
                  </from>
                  <to>
                    <xdr:col>2</xdr:col>
                    <xdr:colOff>485775</xdr:colOff>
                    <xdr:row>52</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CAEDA-D13A-42F9-837A-63A60AA4E1E2}">
  <dimension ref="A1:W43"/>
  <sheetViews>
    <sheetView workbookViewId="0">
      <selection activeCell="C13" sqref="C13"/>
    </sheetView>
  </sheetViews>
  <sheetFormatPr defaultRowHeight="15" x14ac:dyDescent="0.25"/>
  <cols>
    <col min="1" max="1" width="6" customWidth="1"/>
    <col min="2" max="2" width="33.140625" customWidth="1"/>
    <col min="3" max="3" width="24.85546875" customWidth="1"/>
    <col min="4" max="4" width="31.5703125" customWidth="1"/>
    <col min="5" max="5" width="40" customWidth="1"/>
    <col min="6" max="6" width="24.5703125" customWidth="1"/>
    <col min="7" max="7" width="22.5703125" customWidth="1"/>
    <col min="8" max="9" width="11.42578125" bestFit="1" customWidth="1"/>
    <col min="10" max="10" width="15.28515625" customWidth="1"/>
    <col min="11" max="11" width="15.7109375" customWidth="1"/>
    <col min="12" max="13" width="10.7109375" bestFit="1" customWidth="1"/>
    <col min="14" max="14" width="9.5703125" customWidth="1"/>
    <col min="15" max="15" width="8.140625" customWidth="1"/>
    <col min="16" max="16" width="8" customWidth="1"/>
    <col min="17" max="19" width="10.7109375" bestFit="1" customWidth="1"/>
    <col min="21" max="23" width="0"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7.25" x14ac:dyDescent="0.3">
      <c r="B4" s="9"/>
      <c r="C4" s="9"/>
      <c r="D4" s="9"/>
      <c r="E4" s="9"/>
      <c r="F4" s="9"/>
      <c r="G4" s="3"/>
      <c r="H4" s="3"/>
      <c r="I4" s="3"/>
      <c r="J4" s="3"/>
      <c r="U4" s="5" t="s">
        <v>48</v>
      </c>
      <c r="V4" s="5"/>
    </row>
    <row r="5" spans="1:23" ht="17.25" x14ac:dyDescent="0.25">
      <c r="B5" s="25" t="s">
        <v>79</v>
      </c>
      <c r="C5" s="20">
        <v>1058</v>
      </c>
      <c r="E5" s="25" t="s">
        <v>83</v>
      </c>
      <c r="F5" s="20"/>
      <c r="H5" s="3"/>
      <c r="I5" s="3"/>
      <c r="J5" s="3"/>
    </row>
    <row r="6" spans="1:23" ht="81" x14ac:dyDescent="0.25">
      <c r="B6" s="25" t="s">
        <v>80</v>
      </c>
      <c r="C6" s="29" t="s">
        <v>731</v>
      </c>
      <c r="E6" s="25" t="s">
        <v>84</v>
      </c>
      <c r="F6" s="20"/>
      <c r="H6" s="3"/>
      <c r="I6" s="3"/>
      <c r="J6" s="3"/>
    </row>
    <row r="7" spans="1:23" ht="17.25" x14ac:dyDescent="0.25">
      <c r="B7" s="25" t="s">
        <v>81</v>
      </c>
      <c r="C7" s="20">
        <v>11002</v>
      </c>
      <c r="H7" s="3"/>
      <c r="I7" s="3"/>
      <c r="J7" s="3"/>
    </row>
    <row r="8" spans="1:23" ht="81" x14ac:dyDescent="0.25">
      <c r="B8" s="25" t="s">
        <v>82</v>
      </c>
      <c r="C8" s="29" t="s">
        <v>732</v>
      </c>
      <c r="H8" s="3"/>
      <c r="I8" s="3"/>
      <c r="J8" s="3"/>
    </row>
    <row r="9" spans="1:23" ht="17.25" x14ac:dyDescent="0.25">
      <c r="B9" s="6"/>
      <c r="C9" s="6"/>
      <c r="D9" s="6"/>
      <c r="E9" s="6"/>
      <c r="F9" s="3"/>
      <c r="G9" s="3"/>
      <c r="H9" s="3"/>
      <c r="I9" s="3"/>
      <c r="J9" s="3"/>
    </row>
    <row r="10" spans="1:23" ht="17.25"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40.5" x14ac:dyDescent="0.3">
      <c r="B13" s="30" t="s">
        <v>46</v>
      </c>
      <c r="C13" s="133"/>
      <c r="D13" s="133"/>
      <c r="E13" s="22" t="s">
        <v>733</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15" customHeight="1" x14ac:dyDescent="0.25">
      <c r="B17" s="365" t="s">
        <v>89</v>
      </c>
      <c r="C17" s="365" t="s">
        <v>90</v>
      </c>
      <c r="D17" s="365" t="s">
        <v>91</v>
      </c>
      <c r="E17" s="365" t="s">
        <v>92</v>
      </c>
      <c r="F17" s="364" t="s">
        <v>93</v>
      </c>
      <c r="G17" s="364"/>
      <c r="H17" s="364"/>
      <c r="I17" s="364"/>
      <c r="J17" s="364"/>
      <c r="K17" s="364" t="s">
        <v>94</v>
      </c>
    </row>
    <row r="18" spans="1:11" ht="27" x14ac:dyDescent="0.25">
      <c r="B18" s="365"/>
      <c r="C18" s="365"/>
      <c r="D18" s="365"/>
      <c r="E18" s="365"/>
      <c r="F18" s="27" t="s">
        <v>51</v>
      </c>
      <c r="G18" s="27" t="s">
        <v>52</v>
      </c>
      <c r="H18" s="27" t="s">
        <v>0</v>
      </c>
      <c r="I18" s="27" t="s">
        <v>1</v>
      </c>
      <c r="J18" s="27" t="s">
        <v>3</v>
      </c>
      <c r="K18" s="364"/>
    </row>
    <row r="19" spans="1:11" s="174" customFormat="1" ht="337.5" x14ac:dyDescent="0.25">
      <c r="B19" s="22" t="s">
        <v>734</v>
      </c>
      <c r="C19" s="30" t="s">
        <v>111</v>
      </c>
      <c r="D19" s="30" t="s">
        <v>592</v>
      </c>
      <c r="E19" s="30"/>
      <c r="F19" s="314">
        <v>65741.33</v>
      </c>
      <c r="G19" s="314">
        <v>310744.5</v>
      </c>
      <c r="H19" s="30"/>
      <c r="I19" s="30"/>
      <c r="J19" s="30"/>
      <c r="K19" s="32" t="s">
        <v>735</v>
      </c>
    </row>
    <row r="20" spans="1:11" ht="17.25" x14ac:dyDescent="0.25">
      <c r="B20" s="3"/>
      <c r="C20" s="3"/>
      <c r="D20" s="3"/>
      <c r="E20" s="3"/>
      <c r="F20" s="3"/>
      <c r="G20" s="3"/>
      <c r="H20" s="3"/>
      <c r="I20" s="3"/>
      <c r="J20" s="3"/>
    </row>
    <row r="21" spans="1:11" ht="15.75" x14ac:dyDescent="0.25">
      <c r="A21" s="12" t="s">
        <v>53</v>
      </c>
      <c r="C21" s="13"/>
      <c r="D21" s="13"/>
      <c r="E21" s="13"/>
      <c r="F21" s="13"/>
      <c r="G21" s="13"/>
      <c r="H21" s="13"/>
      <c r="I21" s="13"/>
      <c r="J21" s="13"/>
    </row>
    <row r="22" spans="1:11" x14ac:dyDescent="0.25">
      <c r="A22" s="14"/>
      <c r="C22" s="15"/>
      <c r="D22" s="15"/>
      <c r="E22" s="15"/>
      <c r="F22" s="15"/>
      <c r="G22" s="15"/>
      <c r="H22" s="15"/>
      <c r="I22" s="15"/>
      <c r="J22" s="15"/>
    </row>
    <row r="23" spans="1:11" x14ac:dyDescent="0.25">
      <c r="A23" s="16" t="s">
        <v>54</v>
      </c>
      <c r="C23" s="17"/>
      <c r="D23" s="17"/>
      <c r="E23" s="13"/>
      <c r="F23" s="13"/>
      <c r="G23" s="13"/>
      <c r="H23" s="13"/>
      <c r="I23" s="13"/>
      <c r="J23" s="13"/>
    </row>
    <row r="24" spans="1:11" x14ac:dyDescent="0.25">
      <c r="B24" s="17"/>
      <c r="C24" s="17"/>
      <c r="D24" s="17"/>
      <c r="E24" s="13"/>
      <c r="F24" s="13"/>
      <c r="G24" s="13"/>
      <c r="H24" s="13"/>
      <c r="I24" s="13"/>
      <c r="J24" s="13"/>
    </row>
    <row r="25" spans="1:11" x14ac:dyDescent="0.25">
      <c r="B25" s="17"/>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A28" s="16" t="s">
        <v>55</v>
      </c>
      <c r="E28" s="13"/>
      <c r="F28" s="13"/>
      <c r="G28" s="13"/>
      <c r="H28" s="13"/>
      <c r="I28" s="13"/>
      <c r="J28" s="13"/>
    </row>
    <row r="29" spans="1:11" ht="62.25" customHeight="1" x14ac:dyDescent="0.25">
      <c r="B29" s="360"/>
      <c r="C29" s="361"/>
      <c r="D29" s="361"/>
      <c r="E29" s="362"/>
      <c r="F29" s="13"/>
      <c r="G29" s="13"/>
      <c r="H29" s="13"/>
      <c r="I29" s="13"/>
      <c r="J29" s="13"/>
    </row>
    <row r="30" spans="1:11" ht="17.25" x14ac:dyDescent="0.25">
      <c r="B30" s="3"/>
      <c r="C30" s="3"/>
      <c r="D30" s="3"/>
      <c r="E30" s="13"/>
      <c r="F30" s="13"/>
      <c r="G30" s="13"/>
      <c r="H30" s="13"/>
      <c r="I30" s="13"/>
      <c r="J30" s="13"/>
    </row>
    <row r="31" spans="1:11" x14ac:dyDescent="0.25">
      <c r="A31" s="7" t="s">
        <v>56</v>
      </c>
    </row>
    <row r="33" spans="2:19" ht="28.5" x14ac:dyDescent="0.25">
      <c r="B33" s="363" t="s">
        <v>95</v>
      </c>
      <c r="C33" s="4" t="s">
        <v>96</v>
      </c>
      <c r="D33" s="4" t="s">
        <v>97</v>
      </c>
      <c r="E33" s="358" t="s">
        <v>98</v>
      </c>
      <c r="F33" s="358"/>
      <c r="G33" s="358"/>
      <c r="H33" s="358" t="s">
        <v>99</v>
      </c>
      <c r="I33" s="358"/>
      <c r="J33" s="358"/>
      <c r="K33" s="358" t="s">
        <v>100</v>
      </c>
      <c r="L33" s="358"/>
      <c r="M33" s="358"/>
      <c r="N33" s="358" t="s">
        <v>101</v>
      </c>
      <c r="O33" s="358"/>
      <c r="P33" s="358"/>
      <c r="Q33" s="359" t="s">
        <v>102</v>
      </c>
      <c r="R33" s="359"/>
      <c r="S33" s="359"/>
    </row>
    <row r="34" spans="2:19" ht="21.75" customHeight="1" x14ac:dyDescent="0.25">
      <c r="B34" s="363"/>
      <c r="C34" s="4" t="s">
        <v>35</v>
      </c>
      <c r="D34" s="4" t="s">
        <v>36</v>
      </c>
      <c r="E34" s="19" t="s">
        <v>0</v>
      </c>
      <c r="F34" s="19" t="s">
        <v>1</v>
      </c>
      <c r="G34" s="19" t="s">
        <v>3</v>
      </c>
      <c r="H34" s="19" t="s">
        <v>0</v>
      </c>
      <c r="I34" s="19" t="s">
        <v>1</v>
      </c>
      <c r="J34" s="19" t="s">
        <v>3</v>
      </c>
      <c r="K34" s="19" t="s">
        <v>39</v>
      </c>
      <c r="L34" s="19" t="s">
        <v>38</v>
      </c>
      <c r="M34" s="19" t="s">
        <v>37</v>
      </c>
      <c r="N34" s="19" t="s">
        <v>39</v>
      </c>
      <c r="O34" s="19" t="s">
        <v>38</v>
      </c>
      <c r="P34" s="19" t="s">
        <v>37</v>
      </c>
      <c r="Q34" s="26" t="s">
        <v>0</v>
      </c>
      <c r="R34" s="26" t="s">
        <v>1</v>
      </c>
      <c r="S34" s="26" t="s">
        <v>3</v>
      </c>
    </row>
    <row r="35" spans="2:19" s="86" customFormat="1" ht="27" x14ac:dyDescent="0.25">
      <c r="B35" s="51" t="s">
        <v>736</v>
      </c>
      <c r="C35" s="51">
        <v>65741.33</v>
      </c>
      <c r="D35" s="51">
        <v>310744.5</v>
      </c>
      <c r="E35" s="93"/>
      <c r="F35" s="93"/>
      <c r="G35" s="93"/>
      <c r="H35" s="93">
        <v>276382.57</v>
      </c>
      <c r="I35" s="93">
        <v>276382.57</v>
      </c>
      <c r="J35" s="93">
        <v>276382.57</v>
      </c>
      <c r="K35" s="52">
        <f>C35+E35+H35</f>
        <v>342123.9</v>
      </c>
      <c r="L35" s="52">
        <f>C35+F35+I35</f>
        <v>342123.9</v>
      </c>
      <c r="M35" s="52">
        <f>C35+G35+J35</f>
        <v>342123.9</v>
      </c>
      <c r="N35" s="93"/>
      <c r="O35" s="93"/>
      <c r="P35" s="93"/>
      <c r="Q35" s="70">
        <f>K35+N35</f>
        <v>342123.9</v>
      </c>
      <c r="R35" s="70">
        <f>L35+O35</f>
        <v>342123.9</v>
      </c>
      <c r="S35" s="70">
        <f>M35+P35</f>
        <v>342123.9</v>
      </c>
    </row>
    <row r="36" spans="2:19" s="86" customFormat="1" x14ac:dyDescent="0.25">
      <c r="B36" s="51"/>
      <c r="C36" s="51"/>
      <c r="D36" s="51"/>
      <c r="E36" s="93"/>
      <c r="F36" s="93"/>
      <c r="G36" s="93"/>
      <c r="H36" s="93"/>
      <c r="I36" s="93"/>
      <c r="J36" s="93"/>
      <c r="K36" s="52">
        <f t="shared" ref="K36:M38" si="0">C36+E36+H36</f>
        <v>0</v>
      </c>
      <c r="L36" s="52">
        <f t="shared" si="0"/>
        <v>0</v>
      </c>
      <c r="M36" s="52">
        <f t="shared" si="0"/>
        <v>0</v>
      </c>
      <c r="N36" s="93"/>
      <c r="O36" s="93"/>
      <c r="P36" s="93"/>
      <c r="Q36" s="70">
        <f t="shared" ref="Q36:S38" si="1">K36+N36</f>
        <v>0</v>
      </c>
      <c r="R36" s="70">
        <f t="shared" si="1"/>
        <v>0</v>
      </c>
      <c r="S36" s="70">
        <f t="shared" si="1"/>
        <v>0</v>
      </c>
    </row>
    <row r="37" spans="2:19" s="86" customFormat="1" x14ac:dyDescent="0.25">
      <c r="B37" s="51"/>
      <c r="C37" s="51"/>
      <c r="D37" s="51"/>
      <c r="E37" s="93"/>
      <c r="F37" s="93"/>
      <c r="G37" s="93"/>
      <c r="H37" s="93"/>
      <c r="I37" s="93"/>
      <c r="J37" s="93"/>
      <c r="K37" s="52">
        <f t="shared" si="0"/>
        <v>0</v>
      </c>
      <c r="L37" s="52">
        <f t="shared" si="0"/>
        <v>0</v>
      </c>
      <c r="M37" s="52">
        <f t="shared" si="0"/>
        <v>0</v>
      </c>
      <c r="N37" s="93"/>
      <c r="O37" s="93"/>
      <c r="P37" s="93"/>
      <c r="Q37" s="70">
        <f t="shared" si="1"/>
        <v>0</v>
      </c>
      <c r="R37" s="70">
        <f t="shared" si="1"/>
        <v>0</v>
      </c>
      <c r="S37" s="70">
        <f t="shared" si="1"/>
        <v>0</v>
      </c>
    </row>
    <row r="38" spans="2:19" s="86" customFormat="1" x14ac:dyDescent="0.25">
      <c r="B38" s="51"/>
      <c r="C38" s="51"/>
      <c r="D38" s="51"/>
      <c r="E38" s="93"/>
      <c r="F38" s="93"/>
      <c r="G38" s="93"/>
      <c r="H38" s="93"/>
      <c r="I38" s="93"/>
      <c r="J38" s="93"/>
      <c r="K38" s="52">
        <f t="shared" si="0"/>
        <v>0</v>
      </c>
      <c r="L38" s="52">
        <f t="shared" si="0"/>
        <v>0</v>
      </c>
      <c r="M38" s="52">
        <f t="shared" si="0"/>
        <v>0</v>
      </c>
      <c r="N38" s="93"/>
      <c r="O38" s="93"/>
      <c r="P38" s="93"/>
      <c r="Q38" s="70">
        <f t="shared" si="1"/>
        <v>0</v>
      </c>
      <c r="R38" s="70">
        <f t="shared" si="1"/>
        <v>0</v>
      </c>
      <c r="S38" s="70">
        <f t="shared" si="1"/>
        <v>0</v>
      </c>
    </row>
    <row r="39" spans="2:19" s="86" customFormat="1" ht="27" x14ac:dyDescent="0.25">
      <c r="B39" s="270" t="s">
        <v>73</v>
      </c>
      <c r="C39" s="51">
        <f>+C35</f>
        <v>65741.33</v>
      </c>
      <c r="D39" s="51">
        <f>+D35</f>
        <v>310744.5</v>
      </c>
      <c r="E39" s="52">
        <f>SUM(E35:E38)</f>
        <v>0</v>
      </c>
      <c r="F39" s="52">
        <f t="shared" ref="F39:J39" si="2">SUM(F35:F38)</f>
        <v>0</v>
      </c>
      <c r="G39" s="52">
        <f t="shared" si="2"/>
        <v>0</v>
      </c>
      <c r="H39" s="52">
        <f t="shared" si="2"/>
        <v>276382.57</v>
      </c>
      <c r="I39" s="52">
        <f t="shared" si="2"/>
        <v>276382.57</v>
      </c>
      <c r="J39" s="52">
        <f t="shared" si="2"/>
        <v>276382.57</v>
      </c>
      <c r="K39" s="52">
        <f>C39+E39+H39</f>
        <v>342123.9</v>
      </c>
      <c r="L39" s="52">
        <f>C39+F39+I39</f>
        <v>342123.9</v>
      </c>
      <c r="M39" s="52">
        <f>C39+G39+J39</f>
        <v>342123.9</v>
      </c>
      <c r="N39" s="82" t="s">
        <v>2</v>
      </c>
      <c r="O39" s="82" t="s">
        <v>2</v>
      </c>
      <c r="P39" s="82" t="s">
        <v>2</v>
      </c>
      <c r="Q39" s="70" t="s">
        <v>2</v>
      </c>
      <c r="R39" s="70" t="s">
        <v>2</v>
      </c>
      <c r="S39" s="70" t="s">
        <v>2</v>
      </c>
    </row>
    <row r="40" spans="2:19" s="86" customFormat="1" ht="27" x14ac:dyDescent="0.25">
      <c r="B40" s="270" t="s">
        <v>60</v>
      </c>
      <c r="C40" s="51"/>
      <c r="D40" s="51"/>
      <c r="E40" s="52" t="s">
        <v>72</v>
      </c>
      <c r="F40" s="52" t="s">
        <v>72</v>
      </c>
      <c r="G40" s="52" t="s">
        <v>72</v>
      </c>
      <c r="H40" s="52" t="s">
        <v>72</v>
      </c>
      <c r="I40" s="52" t="s">
        <v>72</v>
      </c>
      <c r="J40" s="52" t="s">
        <v>72</v>
      </c>
      <c r="K40" s="52">
        <f>C40</f>
        <v>0</v>
      </c>
      <c r="L40" s="52">
        <f>C40</f>
        <v>0</v>
      </c>
      <c r="M40" s="52">
        <f>C40</f>
        <v>0</v>
      </c>
      <c r="N40" s="82" t="s">
        <v>2</v>
      </c>
      <c r="O40" s="82" t="s">
        <v>2</v>
      </c>
      <c r="P40" s="82" t="s">
        <v>2</v>
      </c>
      <c r="Q40" s="70" t="s">
        <v>2</v>
      </c>
      <c r="R40" s="70" t="s">
        <v>2</v>
      </c>
      <c r="S40" s="70" t="s">
        <v>2</v>
      </c>
    </row>
    <row r="41" spans="2:19" s="293" customFormat="1" x14ac:dyDescent="0.25">
      <c r="B41" s="272" t="s">
        <v>698</v>
      </c>
      <c r="C41" s="259">
        <f>SUM(C35:C38)</f>
        <v>65741.33</v>
      </c>
      <c r="D41" s="259">
        <f>SUM(D35:D38)</f>
        <v>310744.5</v>
      </c>
      <c r="E41" s="259">
        <f>E39</f>
        <v>0</v>
      </c>
      <c r="F41" s="259">
        <f t="shared" ref="F41:J41" si="3">F39</f>
        <v>0</v>
      </c>
      <c r="G41" s="259">
        <f t="shared" si="3"/>
        <v>0</v>
      </c>
      <c r="H41" s="259">
        <f t="shared" si="3"/>
        <v>276382.57</v>
      </c>
      <c r="I41" s="259">
        <f t="shared" si="3"/>
        <v>276382.57</v>
      </c>
      <c r="J41" s="259">
        <f t="shared" si="3"/>
        <v>276382.57</v>
      </c>
      <c r="K41" s="260">
        <f>K39+K40</f>
        <v>342123.9</v>
      </c>
      <c r="L41" s="260">
        <f t="shared" ref="L41:M41" si="4">L39+L40</f>
        <v>342123.9</v>
      </c>
      <c r="M41" s="260">
        <f t="shared" si="4"/>
        <v>342123.9</v>
      </c>
      <c r="N41" s="260">
        <f>SUM(N35:N38)</f>
        <v>0</v>
      </c>
      <c r="O41" s="260">
        <f t="shared" ref="O41:P41" si="5">SUM(O35:O38)</f>
        <v>0</v>
      </c>
      <c r="P41" s="260">
        <f t="shared" si="5"/>
        <v>0</v>
      </c>
      <c r="Q41" s="263">
        <f>K41+N41</f>
        <v>342123.9</v>
      </c>
      <c r="R41" s="263">
        <f>L41+O41</f>
        <v>342123.9</v>
      </c>
      <c r="S41" s="263">
        <f>M41+P41</f>
        <v>342123.9</v>
      </c>
    </row>
    <row r="43" spans="2:19" x14ac:dyDescent="0.25">
      <c r="K43" s="84"/>
    </row>
  </sheetData>
  <mergeCells count="13">
    <mergeCell ref="Q33:S33"/>
    <mergeCell ref="B29:E29"/>
    <mergeCell ref="B33:B34"/>
    <mergeCell ref="E33:G33"/>
    <mergeCell ref="H33:J33"/>
    <mergeCell ref="K33:M33"/>
    <mergeCell ref="N33:P33"/>
    <mergeCell ref="K17:K18"/>
    <mergeCell ref="B17:B18"/>
    <mergeCell ref="C17:C18"/>
    <mergeCell ref="D17:D18"/>
    <mergeCell ref="E17:E18"/>
    <mergeCell ref="F17:J17"/>
  </mergeCells>
  <dataValidations count="2">
    <dataValidation type="list" allowBlank="1" showInputMessage="1" showErrorMessage="1" sqref="B13" xr:uid="{A1B20E67-BC5F-4BDF-9826-B21D091C700A}">
      <formula1>$U$2:$U$4</formula1>
    </dataValidation>
    <dataValidation type="custom" allowBlank="1" showInputMessage="1" showErrorMessage="1" sqref="N35:P38" xr:uid="{832AD842-CFA9-45D3-9FA6-2E926BF44AC2}">
      <formula1>"-"</formula1>
    </dataValidation>
  </dataValidations>
  <hyperlinks>
    <hyperlink ref="C12" location="_ftn1" display="_ftn1" xr:uid="{C3244057-BE56-40AB-AFE1-1559FC5BBC11}"/>
    <hyperlink ref="D12" location="_ftn2" display="_ftn2" xr:uid="{EE68942E-C5D2-436D-BE5D-F8325C3C3BF3}"/>
    <hyperlink ref="E12" location="_ftn3" display="_ftn3" xr:uid="{8EFA0ADD-E351-4A92-B7D4-F35AF6F4ED6A}"/>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69985" r:id="rId3" name="Check Box 1">
              <controlPr defaultSize="0" autoFill="0" autoLine="0" autoPict="0">
                <anchor moveWithCells="1">
                  <from>
                    <xdr:col>1</xdr:col>
                    <xdr:colOff>85725</xdr:colOff>
                    <xdr:row>25</xdr:row>
                    <xdr:rowOff>0</xdr:rowOff>
                  </from>
                  <to>
                    <xdr:col>2</xdr:col>
                    <xdr:colOff>1171575</xdr:colOff>
                    <xdr:row>26</xdr:row>
                    <xdr:rowOff>28575</xdr:rowOff>
                  </to>
                </anchor>
              </controlPr>
            </control>
          </mc:Choice>
        </mc:AlternateContent>
        <mc:AlternateContent xmlns:mc="http://schemas.openxmlformats.org/markup-compatibility/2006">
          <mc:Choice Requires="x14">
            <control shapeId="169986" r:id="rId4" name="Check Box 2">
              <controlPr defaultSize="0" autoFill="0" autoLine="0" autoPict="0">
                <anchor moveWithCells="1">
                  <from>
                    <xdr:col>1</xdr:col>
                    <xdr:colOff>85725</xdr:colOff>
                    <xdr:row>22</xdr:row>
                    <xdr:rowOff>171450</xdr:rowOff>
                  </from>
                  <to>
                    <xdr:col>3</xdr:col>
                    <xdr:colOff>266700</xdr:colOff>
                    <xdr:row>24</xdr:row>
                    <xdr:rowOff>28575</xdr:rowOff>
                  </to>
                </anchor>
              </controlPr>
            </control>
          </mc:Choice>
        </mc:AlternateContent>
        <mc:AlternateContent xmlns:mc="http://schemas.openxmlformats.org/markup-compatibility/2006">
          <mc:Choice Requires="x14">
            <control shapeId="169987" r:id="rId5" name="Check Box 3">
              <controlPr defaultSize="0" autoFill="0" autoLine="0" autoPict="0">
                <anchor moveWithCells="1">
                  <from>
                    <xdr:col>1</xdr:col>
                    <xdr:colOff>85725</xdr:colOff>
                    <xdr:row>24</xdr:row>
                    <xdr:rowOff>28575</xdr:rowOff>
                  </from>
                  <to>
                    <xdr:col>3</xdr:col>
                    <xdr:colOff>266700</xdr:colOff>
                    <xdr:row>25</xdr:row>
                    <xdr:rowOff>0</xdr:rowOff>
                  </to>
                </anchor>
              </controlPr>
            </control>
          </mc:Choice>
        </mc:AlternateContent>
        <mc:AlternateContent xmlns:mc="http://schemas.openxmlformats.org/markup-compatibility/2006">
          <mc:Choice Requires="x14">
            <control shapeId="169988" r:id="rId6" name="Check Box 4">
              <controlPr defaultSize="0" autoFill="0" autoLine="0" autoPict="0">
                <anchor moveWithCells="1">
                  <from>
                    <xdr:col>1</xdr:col>
                    <xdr:colOff>95250</xdr:colOff>
                    <xdr:row>26</xdr:row>
                    <xdr:rowOff>9525</xdr:rowOff>
                  </from>
                  <to>
                    <xdr:col>2</xdr:col>
                    <xdr:colOff>571500</xdr:colOff>
                    <xdr:row>27</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646C0-CE27-491D-A7DE-54FD648C4994}">
  <dimension ref="A1:W44"/>
  <sheetViews>
    <sheetView topLeftCell="A28" workbookViewId="0">
      <selection activeCell="D40" sqref="D40"/>
    </sheetView>
  </sheetViews>
  <sheetFormatPr defaultRowHeight="15" x14ac:dyDescent="0.25"/>
  <cols>
    <col min="2" max="2" width="21" customWidth="1"/>
    <col min="3" max="3" width="29" customWidth="1"/>
    <col min="4" max="4" width="22.5703125" customWidth="1"/>
    <col min="5" max="5" width="31.140625" customWidth="1"/>
    <col min="6" max="6" width="19.5703125" customWidth="1"/>
    <col min="7" max="10" width="9.28515625" bestFit="1" customWidth="1"/>
    <col min="11" max="11" width="24.28515625" customWidth="1"/>
    <col min="12" max="13" width="10" bestFit="1" customWidth="1"/>
    <col min="14" max="16" width="9.28515625" bestFit="1" customWidth="1"/>
    <col min="17" max="19" width="10" bestFit="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x14ac:dyDescent="0.25">
      <c r="A3" s="7" t="s">
        <v>45</v>
      </c>
      <c r="C3" s="8"/>
      <c r="D3" s="8"/>
      <c r="E3" s="8"/>
      <c r="F3" s="8"/>
      <c r="G3" s="6"/>
      <c r="H3" s="6"/>
      <c r="I3" s="6"/>
      <c r="J3" s="6"/>
      <c r="U3" s="5" t="s">
        <v>46</v>
      </c>
      <c r="V3" s="5" t="s">
        <v>47</v>
      </c>
      <c r="W3" s="5"/>
    </row>
    <row r="4" spans="1:23" ht="17.25" x14ac:dyDescent="0.3">
      <c r="B4" s="9"/>
      <c r="C4" s="9"/>
      <c r="D4" s="9"/>
      <c r="E4" s="9"/>
      <c r="F4" s="9"/>
      <c r="G4" s="3"/>
      <c r="H4" s="3"/>
      <c r="I4" s="3"/>
      <c r="J4" s="3"/>
      <c r="U4" s="5" t="s">
        <v>48</v>
      </c>
      <c r="V4" s="5"/>
    </row>
    <row r="5" spans="1:23" ht="17.25" x14ac:dyDescent="0.25">
      <c r="B5" s="25" t="s">
        <v>79</v>
      </c>
      <c r="C5" s="20">
        <v>1058</v>
      </c>
      <c r="E5" s="25" t="s">
        <v>83</v>
      </c>
      <c r="F5" s="308">
        <v>2015</v>
      </c>
      <c r="H5" s="3"/>
      <c r="I5" s="3"/>
      <c r="J5" s="3"/>
    </row>
    <row r="6" spans="1:23" ht="67.5" x14ac:dyDescent="0.25">
      <c r="B6" s="25" t="s">
        <v>80</v>
      </c>
      <c r="C6" s="29" t="s">
        <v>711</v>
      </c>
      <c r="E6" s="25" t="s">
        <v>84</v>
      </c>
      <c r="F6" s="308" t="s">
        <v>245</v>
      </c>
      <c r="H6" s="3"/>
      <c r="I6" s="3"/>
      <c r="J6" s="3"/>
    </row>
    <row r="7" spans="1:23" ht="17.25" x14ac:dyDescent="0.25">
      <c r="B7" s="25" t="s">
        <v>81</v>
      </c>
      <c r="C7" s="20">
        <v>11003</v>
      </c>
      <c r="H7" s="3"/>
      <c r="I7" s="3"/>
      <c r="J7" s="3"/>
    </row>
    <row r="8" spans="1:23" ht="40.5" x14ac:dyDescent="0.25">
      <c r="B8" s="25" t="s">
        <v>82</v>
      </c>
      <c r="C8" s="29" t="s">
        <v>712</v>
      </c>
      <c r="H8" s="3"/>
      <c r="I8" s="3"/>
      <c r="J8" s="3"/>
    </row>
    <row r="9" spans="1:23" ht="17.25" x14ac:dyDescent="0.25">
      <c r="B9" s="6"/>
      <c r="C9" s="6"/>
      <c r="D9" s="6"/>
      <c r="E9" s="6"/>
      <c r="F9" s="3"/>
      <c r="G9" s="3"/>
      <c r="H9" s="3"/>
      <c r="I9" s="3"/>
      <c r="J9" s="3"/>
    </row>
    <row r="10" spans="1:23" ht="17.25" x14ac:dyDescent="0.25">
      <c r="A10" s="7" t="s">
        <v>49</v>
      </c>
      <c r="C10" s="3"/>
      <c r="D10" s="3"/>
      <c r="E10" s="3"/>
      <c r="F10" s="3"/>
      <c r="G10" s="3"/>
      <c r="H10" s="3"/>
      <c r="I10" s="3"/>
      <c r="J10" s="3"/>
    </row>
    <row r="11" spans="1:23" ht="17.25" x14ac:dyDescent="0.25">
      <c r="B11" s="3"/>
      <c r="C11" s="3"/>
      <c r="D11" s="3"/>
      <c r="E11" s="3"/>
      <c r="F11" s="3"/>
      <c r="G11" s="3"/>
      <c r="H11" s="3"/>
      <c r="I11" s="3"/>
      <c r="J11" s="3"/>
    </row>
    <row r="12" spans="1:23" ht="96" x14ac:dyDescent="0.25">
      <c r="B12" s="10" t="s">
        <v>85</v>
      </c>
      <c r="C12" s="28" t="s">
        <v>86</v>
      </c>
      <c r="D12" s="28" t="s">
        <v>87</v>
      </c>
      <c r="E12" s="28" t="s">
        <v>88</v>
      </c>
      <c r="F12" s="3"/>
      <c r="G12" s="3"/>
      <c r="H12" s="3"/>
      <c r="I12" s="3"/>
      <c r="J12" s="3"/>
    </row>
    <row r="13" spans="1:23" ht="409.5" x14ac:dyDescent="0.3">
      <c r="B13" s="131" t="s">
        <v>46</v>
      </c>
      <c r="C13" s="22" t="s">
        <v>713</v>
      </c>
      <c r="D13" s="21"/>
      <c r="E13" s="132" t="s">
        <v>714</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x14ac:dyDescent="0.25">
      <c r="B17" s="365" t="s">
        <v>89</v>
      </c>
      <c r="C17" s="365" t="s">
        <v>90</v>
      </c>
      <c r="D17" s="365" t="s">
        <v>91</v>
      </c>
      <c r="E17" s="365" t="s">
        <v>92</v>
      </c>
      <c r="F17" s="364" t="s">
        <v>93</v>
      </c>
      <c r="G17" s="364"/>
      <c r="H17" s="364"/>
      <c r="I17" s="364"/>
      <c r="J17" s="364"/>
      <c r="K17" s="364" t="s">
        <v>94</v>
      </c>
    </row>
    <row r="18" spans="1:11" ht="40.5" x14ac:dyDescent="0.25">
      <c r="B18" s="365"/>
      <c r="C18" s="365"/>
      <c r="D18" s="365"/>
      <c r="E18" s="365"/>
      <c r="F18" s="27" t="s">
        <v>51</v>
      </c>
      <c r="G18" s="27" t="s">
        <v>52</v>
      </c>
      <c r="H18" s="27" t="s">
        <v>0</v>
      </c>
      <c r="I18" s="27" t="s">
        <v>1</v>
      </c>
      <c r="J18" s="27" t="s">
        <v>3</v>
      </c>
      <c r="K18" s="364"/>
    </row>
    <row r="19" spans="1:11" s="262" customFormat="1" ht="108" x14ac:dyDescent="0.25">
      <c r="B19" s="31" t="s">
        <v>715</v>
      </c>
      <c r="C19" s="31" t="s">
        <v>716</v>
      </c>
      <c r="D19" s="31" t="s">
        <v>592</v>
      </c>
      <c r="E19" s="307" t="s">
        <v>717</v>
      </c>
      <c r="F19" s="31" t="s">
        <v>718</v>
      </c>
      <c r="G19" s="309">
        <v>27360</v>
      </c>
      <c r="H19" s="309">
        <v>27360</v>
      </c>
      <c r="I19" s="309">
        <v>27360</v>
      </c>
      <c r="J19" s="309">
        <v>27360</v>
      </c>
      <c r="K19" s="32" t="s">
        <v>719</v>
      </c>
    </row>
    <row r="21" spans="1:11" ht="17.25" x14ac:dyDescent="0.25">
      <c r="B21" s="3"/>
      <c r="C21" s="3"/>
      <c r="D21" s="3"/>
      <c r="E21" s="3"/>
      <c r="F21" s="3"/>
      <c r="G21" s="3"/>
      <c r="H21" s="3"/>
      <c r="I21" s="3"/>
      <c r="J21" s="3"/>
    </row>
    <row r="22" spans="1:11" ht="15.75" x14ac:dyDescent="0.25">
      <c r="A22" s="12" t="s">
        <v>53</v>
      </c>
      <c r="C22" s="13"/>
      <c r="D22" s="13"/>
      <c r="E22" s="13"/>
      <c r="F22" s="13"/>
      <c r="G22" s="13"/>
      <c r="H22" s="13"/>
      <c r="I22" s="13"/>
      <c r="J22" s="13"/>
    </row>
    <row r="23" spans="1:11" x14ac:dyDescent="0.25">
      <c r="A23" s="14"/>
      <c r="C23" s="15"/>
      <c r="D23" s="15"/>
      <c r="E23" s="15"/>
      <c r="F23" s="15"/>
      <c r="G23" s="15"/>
      <c r="H23" s="15"/>
      <c r="I23" s="15"/>
      <c r="J23" s="15"/>
    </row>
    <row r="24" spans="1:11" x14ac:dyDescent="0.25">
      <c r="A24" s="16" t="s">
        <v>54</v>
      </c>
      <c r="C24" s="17"/>
      <c r="D24" s="17"/>
      <c r="E24" s="13"/>
      <c r="F24" s="13"/>
      <c r="G24" s="13"/>
      <c r="H24" s="13"/>
      <c r="I24" s="13"/>
      <c r="J24" s="13"/>
    </row>
    <row r="25" spans="1:11" x14ac:dyDescent="0.25">
      <c r="B25" s="17"/>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A29" s="16" t="s">
        <v>55</v>
      </c>
      <c r="E29" s="13"/>
      <c r="F29" s="13"/>
      <c r="G29" s="13"/>
      <c r="H29" s="13"/>
      <c r="I29" s="13"/>
      <c r="J29" s="13"/>
    </row>
    <row r="30" spans="1:11" x14ac:dyDescent="0.25">
      <c r="B30" s="373" t="s">
        <v>720</v>
      </c>
      <c r="C30" s="374"/>
      <c r="D30" s="374"/>
      <c r="E30" s="374"/>
      <c r="F30" s="374"/>
      <c r="G30" s="374"/>
      <c r="H30" s="13"/>
      <c r="I30" s="13"/>
      <c r="J30" s="13"/>
    </row>
    <row r="31" spans="1:11" ht="17.25" x14ac:dyDescent="0.25">
      <c r="B31" s="3"/>
      <c r="C31" s="3"/>
      <c r="D31" s="3"/>
      <c r="E31" s="13"/>
      <c r="F31" s="13"/>
      <c r="G31" s="13"/>
      <c r="H31" s="13"/>
      <c r="I31" s="13"/>
      <c r="J31" s="13"/>
    </row>
    <row r="32" spans="1:11" x14ac:dyDescent="0.25">
      <c r="A32" s="7" t="s">
        <v>56</v>
      </c>
    </row>
    <row r="34" spans="2:19" ht="28.5" x14ac:dyDescent="0.25">
      <c r="B34" s="363" t="s">
        <v>95</v>
      </c>
      <c r="C34" s="4" t="s">
        <v>96</v>
      </c>
      <c r="D34" s="4" t="s">
        <v>97</v>
      </c>
      <c r="E34" s="358" t="s">
        <v>98</v>
      </c>
      <c r="F34" s="358"/>
      <c r="G34" s="358"/>
      <c r="H34" s="358" t="s">
        <v>99</v>
      </c>
      <c r="I34" s="358"/>
      <c r="J34" s="358"/>
      <c r="K34" s="358" t="s">
        <v>100</v>
      </c>
      <c r="L34" s="358"/>
      <c r="M34" s="358"/>
      <c r="N34" s="358" t="s">
        <v>101</v>
      </c>
      <c r="O34" s="358"/>
      <c r="P34" s="358"/>
      <c r="Q34" s="359" t="s">
        <v>102</v>
      </c>
      <c r="R34" s="359"/>
      <c r="S34" s="359"/>
    </row>
    <row r="35" spans="2:19" x14ac:dyDescent="0.25">
      <c r="B35" s="363"/>
      <c r="C35" s="4" t="s">
        <v>35</v>
      </c>
      <c r="D35" s="4" t="s">
        <v>36</v>
      </c>
      <c r="E35" s="19" t="s">
        <v>0</v>
      </c>
      <c r="F35" s="19" t="s">
        <v>1</v>
      </c>
      <c r="G35" s="19" t="s">
        <v>3</v>
      </c>
      <c r="H35" s="19" t="s">
        <v>0</v>
      </c>
      <c r="I35" s="19" t="s">
        <v>1</v>
      </c>
      <c r="J35" s="19" t="s">
        <v>3</v>
      </c>
      <c r="K35" s="19" t="s">
        <v>39</v>
      </c>
      <c r="L35" s="19" t="s">
        <v>38</v>
      </c>
      <c r="M35" s="19" t="s">
        <v>37</v>
      </c>
      <c r="N35" s="19" t="s">
        <v>39</v>
      </c>
      <c r="O35" s="19" t="s">
        <v>38</v>
      </c>
      <c r="P35" s="19" t="s">
        <v>37</v>
      </c>
      <c r="Q35" s="26" t="s">
        <v>0</v>
      </c>
      <c r="R35" s="26" t="s">
        <v>1</v>
      </c>
      <c r="S35" s="26" t="s">
        <v>3</v>
      </c>
    </row>
    <row r="36" spans="2:19" s="86" customFormat="1" ht="27" x14ac:dyDescent="0.25">
      <c r="B36" s="51" t="s">
        <v>715</v>
      </c>
      <c r="C36" s="51">
        <v>27125.22</v>
      </c>
      <c r="D36" s="51">
        <v>27360</v>
      </c>
      <c r="E36" s="312"/>
      <c r="F36" s="312"/>
      <c r="G36" s="312"/>
      <c r="H36" s="93">
        <f>+K36-C36</f>
        <v>234.77999999999884</v>
      </c>
      <c r="I36" s="93">
        <f>+L36-C36</f>
        <v>234.77999999999884</v>
      </c>
      <c r="J36" s="93">
        <f>+M36-C36</f>
        <v>234.77999999999884</v>
      </c>
      <c r="K36" s="52">
        <v>27360</v>
      </c>
      <c r="L36" s="52">
        <v>27360</v>
      </c>
      <c r="M36" s="52">
        <v>27360</v>
      </c>
      <c r="N36" s="93"/>
      <c r="O36" s="93"/>
      <c r="P36" s="93"/>
      <c r="Q36" s="70">
        <v>27360</v>
      </c>
      <c r="R36" s="70">
        <v>27360</v>
      </c>
      <c r="S36" s="70">
        <v>27360</v>
      </c>
    </row>
    <row r="37" spans="2:19" s="86" customFormat="1" ht="27" x14ac:dyDescent="0.25">
      <c r="B37" s="51" t="s">
        <v>730</v>
      </c>
      <c r="C37" s="51">
        <v>8100</v>
      </c>
      <c r="D37" s="51"/>
      <c r="E37" s="93"/>
      <c r="F37" s="93"/>
      <c r="G37" s="93"/>
      <c r="H37" s="93"/>
      <c r="I37" s="93"/>
      <c r="J37" s="93"/>
      <c r="K37" s="52"/>
      <c r="L37" s="52"/>
      <c r="M37" s="52"/>
      <c r="N37" s="93"/>
      <c r="O37" s="93"/>
      <c r="P37" s="93"/>
      <c r="Q37" s="70"/>
      <c r="R37" s="70"/>
      <c r="S37" s="70"/>
    </row>
    <row r="38" spans="2:19" s="86" customFormat="1" ht="54" x14ac:dyDescent="0.25">
      <c r="B38" s="270" t="s">
        <v>73</v>
      </c>
      <c r="C38" s="51"/>
      <c r="D38" s="51">
        <v>27360</v>
      </c>
      <c r="E38" s="52">
        <v>0</v>
      </c>
      <c r="F38" s="52">
        <v>0</v>
      </c>
      <c r="G38" s="52">
        <v>0</v>
      </c>
      <c r="H38" s="52">
        <f>+H36</f>
        <v>234.77999999999884</v>
      </c>
      <c r="I38" s="52">
        <f t="shared" ref="I38:J38" si="0">+I36</f>
        <v>234.77999999999884</v>
      </c>
      <c r="J38" s="52">
        <f t="shared" si="0"/>
        <v>234.77999999999884</v>
      </c>
      <c r="K38" s="52">
        <v>27360</v>
      </c>
      <c r="L38" s="52">
        <v>27360</v>
      </c>
      <c r="M38" s="52">
        <v>27360</v>
      </c>
      <c r="N38" s="82" t="s">
        <v>2</v>
      </c>
      <c r="O38" s="82" t="s">
        <v>2</v>
      </c>
      <c r="P38" s="82" t="s">
        <v>2</v>
      </c>
      <c r="Q38" s="70" t="s">
        <v>2</v>
      </c>
      <c r="R38" s="70" t="s">
        <v>2</v>
      </c>
      <c r="S38" s="70" t="s">
        <v>2</v>
      </c>
    </row>
    <row r="39" spans="2:19" s="86" customFormat="1" ht="58.5" customHeight="1" x14ac:dyDescent="0.25">
      <c r="B39" s="270" t="s">
        <v>60</v>
      </c>
      <c r="C39" s="51"/>
      <c r="D39" s="51"/>
      <c r="E39" s="52" t="s">
        <v>72</v>
      </c>
      <c r="F39" s="52" t="s">
        <v>72</v>
      </c>
      <c r="G39" s="52" t="s">
        <v>72</v>
      </c>
      <c r="H39" s="52" t="s">
        <v>72</v>
      </c>
      <c r="I39" s="52" t="s">
        <v>72</v>
      </c>
      <c r="J39" s="52" t="s">
        <v>72</v>
      </c>
      <c r="K39" s="52">
        <v>0</v>
      </c>
      <c r="L39" s="52">
        <v>0</v>
      </c>
      <c r="M39" s="52">
        <v>0</v>
      </c>
      <c r="N39" s="82" t="s">
        <v>2</v>
      </c>
      <c r="O39" s="82" t="s">
        <v>2</v>
      </c>
      <c r="P39" s="82" t="s">
        <v>2</v>
      </c>
      <c r="Q39" s="70" t="s">
        <v>2</v>
      </c>
      <c r="R39" s="70" t="s">
        <v>2</v>
      </c>
      <c r="S39" s="70" t="s">
        <v>2</v>
      </c>
    </row>
    <row r="40" spans="2:19" s="293" customFormat="1" ht="27" x14ac:dyDescent="0.25">
      <c r="B40" s="272" t="s">
        <v>698</v>
      </c>
      <c r="C40" s="259">
        <f>SUM(C36:C39)</f>
        <v>35225.22</v>
      </c>
      <c r="D40" s="259">
        <v>27360</v>
      </c>
      <c r="E40" s="259">
        <v>0</v>
      </c>
      <c r="F40" s="259">
        <v>0</v>
      </c>
      <c r="G40" s="259">
        <v>0</v>
      </c>
      <c r="H40" s="259">
        <f>+H38</f>
        <v>234.77999999999884</v>
      </c>
      <c r="I40" s="259">
        <f t="shared" ref="I40:J40" si="1">+I38</f>
        <v>234.77999999999884</v>
      </c>
      <c r="J40" s="259">
        <f t="shared" si="1"/>
        <v>234.77999999999884</v>
      </c>
      <c r="K40" s="260">
        <v>27360</v>
      </c>
      <c r="L40" s="260">
        <v>27360</v>
      </c>
      <c r="M40" s="260">
        <v>27360</v>
      </c>
      <c r="N40" s="260">
        <v>0</v>
      </c>
      <c r="O40" s="260">
        <v>0</v>
      </c>
      <c r="P40" s="260">
        <v>0</v>
      </c>
      <c r="Q40" s="263">
        <v>27360</v>
      </c>
      <c r="R40" s="263">
        <v>27360</v>
      </c>
      <c r="S40" s="263">
        <v>27360</v>
      </c>
    </row>
    <row r="41" spans="2:19" s="86" customFormat="1" x14ac:dyDescent="0.25"/>
    <row r="44" spans="2:19" x14ac:dyDescent="0.25">
      <c r="J44" s="84"/>
    </row>
  </sheetData>
  <mergeCells count="13">
    <mergeCell ref="B30:G30"/>
    <mergeCell ref="N34:P34"/>
    <mergeCell ref="Q34:S34"/>
    <mergeCell ref="B34:B35"/>
    <mergeCell ref="E34:G34"/>
    <mergeCell ref="H34:J34"/>
    <mergeCell ref="K34:M34"/>
    <mergeCell ref="K17:K18"/>
    <mergeCell ref="B17:B18"/>
    <mergeCell ref="C17:C18"/>
    <mergeCell ref="D17:D18"/>
    <mergeCell ref="E17:E18"/>
    <mergeCell ref="F17:J17"/>
  </mergeCells>
  <hyperlinks>
    <hyperlink ref="C12" location="_ftn1" display="_ftn1" xr:uid="{00000000-0004-0000-0100-000000000000}"/>
    <hyperlink ref="D12" location="_ftn2" display="_ftn2" xr:uid="{00000000-0004-0000-0100-000001000000}"/>
    <hyperlink ref="E12" location="_ftn3" display="_ftn3" xr:uid="{00000000-0004-0000-0100-000002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424B1-F40F-47F9-967A-FC7BD138AF77}">
  <dimension ref="A1:W66"/>
  <sheetViews>
    <sheetView topLeftCell="A58" workbookViewId="0">
      <selection activeCell="E72" sqref="E72"/>
    </sheetView>
  </sheetViews>
  <sheetFormatPr defaultRowHeight="15" x14ac:dyDescent="0.25"/>
  <cols>
    <col min="1" max="1" width="7.140625" customWidth="1"/>
    <col min="2" max="2" width="33.140625" customWidth="1"/>
    <col min="3" max="3" width="24.85546875" customWidth="1"/>
    <col min="4" max="4" width="31.5703125" customWidth="1"/>
    <col min="5" max="5" width="40.28515625" customWidth="1"/>
    <col min="6" max="6" width="28.42578125" customWidth="1"/>
    <col min="7" max="7" width="22.28515625" customWidth="1"/>
    <col min="8" max="8" width="13.5703125" customWidth="1"/>
    <col min="9" max="9" width="11.85546875" customWidth="1"/>
    <col min="10" max="10" width="16.42578125" customWidth="1"/>
    <col min="11" max="11" width="53.42578125" customWidth="1"/>
    <col min="12" max="12" width="9" customWidth="1"/>
    <col min="13" max="13" width="10.28515625" customWidth="1"/>
    <col min="14" max="14" width="9.5703125" customWidth="1"/>
    <col min="15" max="15" width="8.140625" customWidth="1"/>
    <col min="16" max="16" width="8" customWidth="1"/>
    <col min="17" max="19" width="13" bestFit="1" customWidth="1"/>
    <col min="21" max="23" width="9.140625" hidden="1" customWidth="1"/>
  </cols>
  <sheetData>
    <row r="1" spans="1:23" ht="15.75" x14ac:dyDescent="0.25">
      <c r="A1" s="1" t="s">
        <v>71</v>
      </c>
      <c r="B1" s="98"/>
      <c r="C1" s="1"/>
      <c r="D1" s="1"/>
      <c r="E1" s="1"/>
      <c r="F1" s="1"/>
      <c r="G1" s="1"/>
      <c r="H1" s="1"/>
      <c r="I1" s="1"/>
      <c r="J1" s="1"/>
      <c r="K1" s="98"/>
      <c r="L1" s="98"/>
      <c r="M1" s="98"/>
      <c r="N1" s="98"/>
      <c r="O1" s="98"/>
      <c r="P1" s="98"/>
      <c r="Q1" s="98"/>
      <c r="R1" s="98"/>
      <c r="S1" s="98"/>
      <c r="U1" s="5" t="s">
        <v>40</v>
      </c>
      <c r="V1" s="5" t="s">
        <v>41</v>
      </c>
      <c r="W1" s="5" t="s">
        <v>42</v>
      </c>
    </row>
    <row r="2" spans="1:23" x14ac:dyDescent="0.25">
      <c r="A2" s="6"/>
      <c r="B2" s="98"/>
      <c r="C2" s="6"/>
      <c r="D2" s="6"/>
      <c r="E2" s="6"/>
      <c r="F2" s="6"/>
      <c r="G2" s="6"/>
      <c r="H2" s="6"/>
      <c r="I2" s="6"/>
      <c r="J2" s="6"/>
      <c r="K2" s="98"/>
      <c r="L2" s="98"/>
      <c r="M2" s="98"/>
      <c r="N2" s="98"/>
      <c r="O2" s="98"/>
      <c r="P2" s="98"/>
      <c r="Q2" s="98"/>
      <c r="R2" s="98"/>
      <c r="S2" s="98"/>
      <c r="U2" s="5" t="s">
        <v>43</v>
      </c>
      <c r="V2" s="5" t="s">
        <v>44</v>
      </c>
      <c r="W2" s="5"/>
    </row>
    <row r="3" spans="1:23" ht="15.75" customHeight="1" x14ac:dyDescent="0.25">
      <c r="A3" s="7" t="s">
        <v>45</v>
      </c>
      <c r="B3" s="98"/>
      <c r="C3" s="8"/>
      <c r="D3" s="8"/>
      <c r="E3" s="8"/>
      <c r="F3" s="8"/>
      <c r="G3" s="6"/>
      <c r="H3" s="6"/>
      <c r="I3" s="6"/>
      <c r="J3" s="6"/>
      <c r="K3" s="98"/>
      <c r="L3" s="98"/>
      <c r="M3" s="98"/>
      <c r="N3" s="98"/>
      <c r="O3" s="98"/>
      <c r="P3" s="98"/>
      <c r="Q3" s="98"/>
      <c r="R3" s="98"/>
      <c r="S3" s="98"/>
      <c r="U3" s="5" t="s">
        <v>46</v>
      </c>
      <c r="V3" s="5" t="s">
        <v>47</v>
      </c>
      <c r="W3" s="5"/>
    </row>
    <row r="4" spans="1:23" ht="15.75" customHeight="1" x14ac:dyDescent="0.25">
      <c r="A4" s="98"/>
      <c r="B4" s="8"/>
      <c r="C4" s="8"/>
      <c r="D4" s="8"/>
      <c r="E4" s="8"/>
      <c r="F4" s="8"/>
      <c r="G4" s="6"/>
      <c r="H4" s="6"/>
      <c r="I4" s="6"/>
      <c r="J4" s="6"/>
      <c r="K4" s="98"/>
      <c r="L4" s="98"/>
      <c r="M4" s="98"/>
      <c r="N4" s="98"/>
      <c r="O4" s="98"/>
      <c r="P4" s="98"/>
      <c r="Q4" s="98"/>
      <c r="R4" s="98"/>
      <c r="S4" s="98"/>
      <c r="U4" s="5" t="s">
        <v>48</v>
      </c>
      <c r="V4" s="5"/>
    </row>
    <row r="5" spans="1:23" ht="18.75" customHeight="1" x14ac:dyDescent="0.25">
      <c r="A5" s="98"/>
      <c r="B5" s="99" t="s">
        <v>240</v>
      </c>
      <c r="C5" s="100">
        <v>1058</v>
      </c>
      <c r="D5" s="98"/>
      <c r="E5" s="99" t="s">
        <v>241</v>
      </c>
      <c r="F5" s="100">
        <v>2022</v>
      </c>
      <c r="G5" s="98"/>
      <c r="H5" s="6"/>
      <c r="I5" s="6"/>
      <c r="J5" s="6"/>
      <c r="K5" s="98"/>
      <c r="L5" s="98"/>
      <c r="M5" s="98"/>
      <c r="N5" s="98"/>
      <c r="O5" s="98"/>
      <c r="P5" s="98"/>
      <c r="Q5" s="98"/>
      <c r="R5" s="98"/>
      <c r="S5" s="98"/>
    </row>
    <row r="6" spans="1:23" ht="91.5" customHeight="1" x14ac:dyDescent="0.25">
      <c r="A6" s="98"/>
      <c r="B6" s="99" t="s">
        <v>242</v>
      </c>
      <c r="C6" s="101" t="s">
        <v>243</v>
      </c>
      <c r="D6" s="98"/>
      <c r="E6" s="99" t="s">
        <v>244</v>
      </c>
      <c r="F6" s="100" t="s">
        <v>245</v>
      </c>
      <c r="G6" s="98"/>
      <c r="H6" s="6"/>
      <c r="I6" s="6"/>
      <c r="J6" s="6"/>
      <c r="K6" s="98"/>
      <c r="L6" s="98"/>
      <c r="M6" s="98"/>
      <c r="N6" s="98"/>
      <c r="O6" s="98"/>
      <c r="P6" s="98"/>
      <c r="Q6" s="98"/>
      <c r="R6" s="98"/>
      <c r="S6" s="98"/>
    </row>
    <row r="7" spans="1:23" ht="18" customHeight="1" x14ac:dyDescent="0.25">
      <c r="A7" s="98"/>
      <c r="B7" s="99" t="s">
        <v>246</v>
      </c>
      <c r="C7" s="100">
        <v>11007</v>
      </c>
      <c r="D7" s="98"/>
      <c r="E7" s="98"/>
      <c r="F7" s="98"/>
      <c r="G7" s="98"/>
      <c r="H7" s="6"/>
      <c r="I7" s="6"/>
      <c r="J7" s="6"/>
      <c r="K7" s="98"/>
      <c r="L7" s="98"/>
      <c r="M7" s="98"/>
      <c r="N7" s="98"/>
      <c r="O7" s="98"/>
      <c r="P7" s="98"/>
      <c r="Q7" s="98"/>
      <c r="R7" s="98"/>
      <c r="S7" s="98"/>
    </row>
    <row r="8" spans="1:23" ht="89.25" customHeight="1" x14ac:dyDescent="0.25">
      <c r="A8" s="98"/>
      <c r="B8" s="99" t="s">
        <v>247</v>
      </c>
      <c r="C8" s="101" t="s">
        <v>248</v>
      </c>
      <c r="D8" s="102"/>
      <c r="E8" s="102"/>
      <c r="F8" s="102"/>
      <c r="G8" s="98"/>
      <c r="H8" s="6"/>
      <c r="I8" s="6"/>
      <c r="J8" s="6"/>
      <c r="K8" s="98"/>
      <c r="L8" s="98"/>
      <c r="M8" s="98"/>
      <c r="N8" s="98"/>
      <c r="O8" s="98"/>
      <c r="P8" s="98"/>
      <c r="Q8" s="98"/>
      <c r="R8" s="98"/>
      <c r="S8" s="98"/>
    </row>
    <row r="9" spans="1:23" x14ac:dyDescent="0.25">
      <c r="A9" s="98"/>
      <c r="B9" s="6"/>
      <c r="C9" s="6"/>
      <c r="D9" s="6"/>
      <c r="E9" s="6"/>
      <c r="F9" s="6"/>
      <c r="G9" s="6"/>
      <c r="H9" s="6"/>
      <c r="I9" s="6"/>
      <c r="J9" s="6"/>
      <c r="K9" s="98"/>
      <c r="L9" s="98"/>
      <c r="M9" s="98"/>
      <c r="N9" s="98"/>
      <c r="O9" s="98"/>
      <c r="P9" s="98"/>
      <c r="Q9" s="98"/>
      <c r="R9" s="98"/>
      <c r="S9" s="98"/>
    </row>
    <row r="10" spans="1:23" ht="15.75" customHeight="1" x14ac:dyDescent="0.25">
      <c r="A10" s="7" t="s">
        <v>49</v>
      </c>
      <c r="B10" s="98"/>
      <c r="C10" s="6"/>
      <c r="D10" s="6"/>
      <c r="E10" s="6"/>
      <c r="F10" s="6"/>
      <c r="G10" s="6"/>
      <c r="H10" s="6"/>
      <c r="I10" s="6"/>
      <c r="J10" s="6"/>
      <c r="K10" s="98"/>
      <c r="L10" s="98"/>
      <c r="M10" s="98"/>
      <c r="N10" s="98"/>
      <c r="O10" s="98"/>
      <c r="P10" s="98"/>
      <c r="Q10" s="98"/>
      <c r="R10" s="98"/>
      <c r="S10" s="98"/>
    </row>
    <row r="11" spans="1:23" x14ac:dyDescent="0.25">
      <c r="A11" s="98"/>
      <c r="B11" s="6"/>
      <c r="C11" s="6"/>
      <c r="D11" s="6"/>
      <c r="E11" s="6"/>
      <c r="F11" s="6"/>
      <c r="G11" s="6"/>
      <c r="H11" s="6"/>
      <c r="I11" s="6"/>
      <c r="J11" s="6"/>
      <c r="K11" s="98"/>
      <c r="L11" s="98"/>
      <c r="M11" s="98"/>
      <c r="N11" s="98"/>
      <c r="O11" s="98"/>
      <c r="P11" s="98"/>
      <c r="Q11" s="98"/>
      <c r="R11" s="98"/>
      <c r="S11" s="98"/>
    </row>
    <row r="12" spans="1:23" ht="69" x14ac:dyDescent="0.25">
      <c r="A12" s="98"/>
      <c r="B12" s="103" t="s">
        <v>249</v>
      </c>
      <c r="C12" s="104" t="s">
        <v>250</v>
      </c>
      <c r="D12" s="104" t="s">
        <v>251</v>
      </c>
      <c r="E12" s="104" t="s">
        <v>252</v>
      </c>
      <c r="F12" s="6"/>
      <c r="G12" s="6"/>
      <c r="H12" s="6"/>
      <c r="I12" s="6"/>
      <c r="J12" s="6"/>
      <c r="K12" s="98"/>
      <c r="L12" s="98"/>
      <c r="M12" s="98"/>
      <c r="N12" s="98"/>
      <c r="O12" s="98"/>
      <c r="P12" s="98"/>
      <c r="Q12" s="98"/>
      <c r="R12" s="98"/>
      <c r="S12" s="98"/>
    </row>
    <row r="13" spans="1:23" ht="283.5" x14ac:dyDescent="0.25">
      <c r="A13" s="98"/>
      <c r="B13" s="105" t="s">
        <v>46</v>
      </c>
      <c r="C13" s="105" t="s">
        <v>253</v>
      </c>
      <c r="D13" s="106"/>
      <c r="E13" s="107" t="s">
        <v>254</v>
      </c>
      <c r="F13" s="8"/>
      <c r="G13" s="6"/>
      <c r="H13" s="6"/>
      <c r="I13" s="6"/>
      <c r="J13" s="8"/>
      <c r="K13" s="98"/>
      <c r="L13" s="98"/>
      <c r="M13" s="98"/>
      <c r="N13" s="98"/>
      <c r="O13" s="98"/>
      <c r="P13" s="98"/>
      <c r="Q13" s="98"/>
      <c r="R13" s="98"/>
      <c r="S13" s="98"/>
    </row>
    <row r="14" spans="1:23" x14ac:dyDescent="0.25">
      <c r="A14" s="98"/>
      <c r="B14" s="108"/>
      <c r="C14" s="108"/>
      <c r="D14" s="108"/>
      <c r="E14" s="108"/>
      <c r="F14" s="6"/>
      <c r="G14" s="6"/>
      <c r="H14" s="6"/>
      <c r="I14" s="6"/>
      <c r="J14" s="8"/>
      <c r="K14" s="98"/>
      <c r="L14" s="98"/>
      <c r="M14" s="98"/>
      <c r="N14" s="98"/>
      <c r="O14" s="98"/>
      <c r="P14" s="98"/>
      <c r="Q14" s="98"/>
      <c r="R14" s="98"/>
      <c r="S14" s="98"/>
    </row>
    <row r="15" spans="1:23" x14ac:dyDescent="0.25">
      <c r="A15" s="7" t="s">
        <v>50</v>
      </c>
      <c r="B15" s="98"/>
      <c r="C15" s="6"/>
      <c r="D15" s="6"/>
      <c r="E15" s="6"/>
      <c r="F15" s="6"/>
      <c r="G15" s="6"/>
      <c r="H15" s="6"/>
      <c r="I15" s="6"/>
      <c r="J15" s="8"/>
      <c r="K15" s="98"/>
      <c r="L15" s="98"/>
      <c r="M15" s="98"/>
      <c r="N15" s="98"/>
      <c r="O15" s="98"/>
      <c r="P15" s="98"/>
      <c r="Q15" s="98"/>
      <c r="R15" s="98"/>
      <c r="S15" s="98"/>
    </row>
    <row r="16" spans="1:23" x14ac:dyDescent="0.25">
      <c r="A16" s="98"/>
      <c r="B16" s="108"/>
      <c r="C16" s="6"/>
      <c r="D16" s="6"/>
      <c r="E16" s="6"/>
      <c r="F16" s="6"/>
      <c r="G16" s="6"/>
      <c r="H16" s="6"/>
      <c r="I16" s="6"/>
      <c r="J16" s="8"/>
      <c r="K16" s="98"/>
      <c r="L16" s="98"/>
      <c r="M16" s="98"/>
      <c r="N16" s="98"/>
      <c r="O16" s="98"/>
      <c r="P16" s="98"/>
      <c r="Q16" s="98"/>
      <c r="R16" s="98"/>
      <c r="S16" s="98"/>
    </row>
    <row r="17" spans="1:19" ht="15" customHeight="1" x14ac:dyDescent="0.25">
      <c r="A17" s="98"/>
      <c r="B17" s="376" t="s">
        <v>255</v>
      </c>
      <c r="C17" s="376" t="s">
        <v>256</v>
      </c>
      <c r="D17" s="376" t="s">
        <v>257</v>
      </c>
      <c r="E17" s="376" t="s">
        <v>258</v>
      </c>
      <c r="F17" s="375" t="s">
        <v>259</v>
      </c>
      <c r="G17" s="375"/>
      <c r="H17" s="375"/>
      <c r="I17" s="375"/>
      <c r="J17" s="375"/>
      <c r="K17" s="375" t="s">
        <v>260</v>
      </c>
      <c r="L17" s="98"/>
      <c r="M17" s="98"/>
      <c r="N17" s="98"/>
      <c r="O17" s="98"/>
      <c r="P17" s="98"/>
      <c r="Q17" s="98"/>
      <c r="R17" s="98"/>
      <c r="S17" s="98"/>
    </row>
    <row r="18" spans="1:19" ht="36" customHeight="1" x14ac:dyDescent="0.25">
      <c r="A18" s="98"/>
      <c r="B18" s="376"/>
      <c r="C18" s="376"/>
      <c r="D18" s="376"/>
      <c r="E18" s="376"/>
      <c r="F18" s="109" t="s">
        <v>51</v>
      </c>
      <c r="G18" s="109" t="s">
        <v>52</v>
      </c>
      <c r="H18" s="109" t="s">
        <v>0</v>
      </c>
      <c r="I18" s="109" t="s">
        <v>1</v>
      </c>
      <c r="J18" s="109" t="s">
        <v>3</v>
      </c>
      <c r="K18" s="375"/>
      <c r="L18" s="98"/>
      <c r="M18" s="98"/>
      <c r="N18" s="98"/>
      <c r="O18" s="98"/>
      <c r="P18" s="98"/>
      <c r="Q18" s="98"/>
      <c r="R18" s="98"/>
      <c r="S18" s="98"/>
    </row>
    <row r="19" spans="1:19" ht="257.25" customHeight="1" x14ac:dyDescent="0.25">
      <c r="A19" s="98"/>
      <c r="B19" s="105" t="s">
        <v>261</v>
      </c>
      <c r="C19" s="110" t="s">
        <v>117</v>
      </c>
      <c r="D19" s="110" t="s">
        <v>47</v>
      </c>
      <c r="E19" s="110" t="s">
        <v>262</v>
      </c>
      <c r="F19" s="111">
        <v>9</v>
      </c>
      <c r="G19" s="110">
        <v>20</v>
      </c>
      <c r="H19" s="110">
        <v>20</v>
      </c>
      <c r="I19" s="110">
        <v>20</v>
      </c>
      <c r="J19" s="110">
        <v>20</v>
      </c>
      <c r="K19" s="105" t="s">
        <v>263</v>
      </c>
      <c r="L19" s="102"/>
      <c r="M19" s="102"/>
      <c r="N19" s="102"/>
      <c r="O19" s="102"/>
      <c r="P19" s="98"/>
      <c r="Q19" s="98"/>
      <c r="R19" s="98"/>
      <c r="S19" s="98"/>
    </row>
    <row r="20" spans="1:19" ht="285" customHeight="1" x14ac:dyDescent="0.25">
      <c r="A20" s="98"/>
      <c r="B20" s="105" t="s">
        <v>264</v>
      </c>
      <c r="C20" s="110" t="s">
        <v>152</v>
      </c>
      <c r="D20" s="110" t="s">
        <v>47</v>
      </c>
      <c r="E20" s="110" t="s">
        <v>262</v>
      </c>
      <c r="F20" s="110">
        <v>8</v>
      </c>
      <c r="G20" s="110">
        <v>19</v>
      </c>
      <c r="H20" s="110">
        <v>19</v>
      </c>
      <c r="I20" s="110">
        <v>19</v>
      </c>
      <c r="J20" s="110">
        <v>19</v>
      </c>
      <c r="K20" s="112" t="s">
        <v>265</v>
      </c>
      <c r="L20" s="98"/>
      <c r="M20" s="102"/>
      <c r="N20" s="102"/>
      <c r="O20" s="102"/>
      <c r="P20" s="98"/>
      <c r="Q20" s="98"/>
      <c r="R20" s="98"/>
      <c r="S20" s="98"/>
    </row>
    <row r="21" spans="1:19" ht="211.5" customHeight="1" x14ac:dyDescent="0.25">
      <c r="A21" s="98"/>
      <c r="B21" s="105" t="s">
        <v>266</v>
      </c>
      <c r="C21" s="110" t="s">
        <v>117</v>
      </c>
      <c r="D21" s="110" t="s">
        <v>47</v>
      </c>
      <c r="E21" s="110" t="s">
        <v>262</v>
      </c>
      <c r="F21" s="110">
        <v>7</v>
      </c>
      <c r="G21" s="110">
        <v>8</v>
      </c>
      <c r="H21" s="110">
        <v>8</v>
      </c>
      <c r="I21" s="110">
        <v>8</v>
      </c>
      <c r="J21" s="110">
        <v>8</v>
      </c>
      <c r="K21" s="105" t="s">
        <v>267</v>
      </c>
      <c r="L21" s="98"/>
      <c r="M21" s="102"/>
      <c r="N21" s="102"/>
      <c r="O21" s="102"/>
      <c r="P21" s="98"/>
      <c r="Q21" s="98"/>
      <c r="R21" s="98"/>
      <c r="S21" s="98"/>
    </row>
    <row r="22" spans="1:19" ht="314.25" customHeight="1" x14ac:dyDescent="0.25">
      <c r="A22" s="98"/>
      <c r="B22" s="105" t="s">
        <v>268</v>
      </c>
      <c r="C22" s="110" t="s">
        <v>117</v>
      </c>
      <c r="D22" s="110" t="s">
        <v>47</v>
      </c>
      <c r="E22" s="110" t="s">
        <v>262</v>
      </c>
      <c r="F22" s="110">
        <v>8</v>
      </c>
      <c r="G22" s="110">
        <v>15</v>
      </c>
      <c r="H22" s="110">
        <v>15</v>
      </c>
      <c r="I22" s="110">
        <v>15</v>
      </c>
      <c r="J22" s="110">
        <v>15</v>
      </c>
      <c r="K22" s="105" t="s">
        <v>269</v>
      </c>
      <c r="L22" s="98"/>
      <c r="M22" s="102"/>
      <c r="N22" s="102"/>
      <c r="O22" s="102"/>
      <c r="P22" s="98"/>
      <c r="Q22" s="98"/>
      <c r="R22" s="98"/>
      <c r="S22" s="98"/>
    </row>
    <row r="23" spans="1:19" ht="409.5" customHeight="1" x14ac:dyDescent="0.25">
      <c r="A23" s="98"/>
      <c r="B23" s="105" t="s">
        <v>270</v>
      </c>
      <c r="C23" s="110" t="s">
        <v>117</v>
      </c>
      <c r="D23" s="110" t="s">
        <v>47</v>
      </c>
      <c r="E23" s="110" t="s">
        <v>262</v>
      </c>
      <c r="F23" s="110">
        <v>9</v>
      </c>
      <c r="G23" s="110">
        <v>15</v>
      </c>
      <c r="H23" s="110">
        <v>15</v>
      </c>
      <c r="I23" s="110">
        <v>15</v>
      </c>
      <c r="J23" s="110">
        <v>15</v>
      </c>
      <c r="K23" s="112" t="s">
        <v>271</v>
      </c>
      <c r="L23" s="98"/>
      <c r="M23" s="102"/>
      <c r="N23" s="102"/>
      <c r="O23" s="102"/>
      <c r="P23" s="98"/>
      <c r="Q23" s="98"/>
      <c r="R23" s="98"/>
      <c r="S23" s="98"/>
    </row>
    <row r="24" spans="1:19" ht="293.25" customHeight="1" x14ac:dyDescent="0.25">
      <c r="A24" s="98"/>
      <c r="B24" s="105" t="s">
        <v>272</v>
      </c>
      <c r="C24" s="110" t="s">
        <v>117</v>
      </c>
      <c r="D24" s="110" t="s">
        <v>47</v>
      </c>
      <c r="E24" s="110" t="s">
        <v>262</v>
      </c>
      <c r="F24" s="110">
        <v>9</v>
      </c>
      <c r="G24" s="110">
        <v>10</v>
      </c>
      <c r="H24" s="110">
        <v>10</v>
      </c>
      <c r="I24" s="110">
        <v>10</v>
      </c>
      <c r="J24" s="110">
        <v>10</v>
      </c>
      <c r="K24" s="105" t="s">
        <v>273</v>
      </c>
      <c r="L24" s="98"/>
      <c r="M24" s="102"/>
      <c r="N24" s="102"/>
      <c r="O24" s="102"/>
      <c r="P24" s="98"/>
      <c r="Q24" s="98"/>
      <c r="R24" s="98"/>
      <c r="S24" s="98"/>
    </row>
    <row r="25" spans="1:19" ht="74.25" customHeight="1" x14ac:dyDescent="0.25">
      <c r="A25" s="98"/>
      <c r="B25" s="105" t="s">
        <v>274</v>
      </c>
      <c r="C25" s="110" t="s">
        <v>152</v>
      </c>
      <c r="D25" s="110" t="s">
        <v>47</v>
      </c>
      <c r="E25" s="110" t="s">
        <v>262</v>
      </c>
      <c r="F25" s="110">
        <v>0</v>
      </c>
      <c r="G25" s="110">
        <v>0</v>
      </c>
      <c r="H25" s="110">
        <v>0</v>
      </c>
      <c r="I25" s="110">
        <v>0</v>
      </c>
      <c r="J25" s="110">
        <v>0</v>
      </c>
      <c r="K25" s="113" t="s">
        <v>275</v>
      </c>
      <c r="L25" s="98"/>
      <c r="M25" s="102"/>
      <c r="N25" s="102"/>
      <c r="O25" s="102"/>
      <c r="P25" s="98"/>
      <c r="Q25" s="98"/>
      <c r="R25" s="98"/>
      <c r="S25" s="98"/>
    </row>
    <row r="26" spans="1:19" ht="364.5" customHeight="1" x14ac:dyDescent="0.25">
      <c r="A26" s="98"/>
      <c r="B26" s="105" t="s">
        <v>276</v>
      </c>
      <c r="C26" s="110" t="s">
        <v>117</v>
      </c>
      <c r="D26" s="110" t="s">
        <v>47</v>
      </c>
      <c r="E26" s="110" t="s">
        <v>262</v>
      </c>
      <c r="F26" s="110">
        <v>7</v>
      </c>
      <c r="G26" s="110">
        <v>11</v>
      </c>
      <c r="H26" s="110">
        <v>11</v>
      </c>
      <c r="I26" s="110">
        <v>11</v>
      </c>
      <c r="J26" s="110">
        <v>11</v>
      </c>
      <c r="K26" s="105" t="s">
        <v>277</v>
      </c>
      <c r="L26" s="98"/>
      <c r="M26" s="102"/>
      <c r="N26" s="102"/>
      <c r="O26" s="102"/>
      <c r="P26" s="98"/>
      <c r="Q26" s="98"/>
      <c r="R26" s="98"/>
      <c r="S26" s="98"/>
    </row>
    <row r="27" spans="1:19" ht="354" customHeight="1" x14ac:dyDescent="0.25">
      <c r="A27" s="98"/>
      <c r="B27" s="105" t="s">
        <v>278</v>
      </c>
      <c r="C27" s="110" t="s">
        <v>117</v>
      </c>
      <c r="D27" s="110" t="s">
        <v>47</v>
      </c>
      <c r="E27" s="110" t="s">
        <v>262</v>
      </c>
      <c r="F27" s="110">
        <v>2</v>
      </c>
      <c r="G27" s="110">
        <v>8</v>
      </c>
      <c r="H27" s="110">
        <v>8</v>
      </c>
      <c r="I27" s="110">
        <v>8</v>
      </c>
      <c r="J27" s="110">
        <v>8</v>
      </c>
      <c r="K27" s="112" t="s">
        <v>279</v>
      </c>
      <c r="L27" s="98"/>
      <c r="M27" s="102"/>
      <c r="N27" s="102"/>
      <c r="O27" s="102"/>
      <c r="P27" s="98"/>
      <c r="Q27" s="98"/>
      <c r="R27" s="98"/>
      <c r="S27" s="98"/>
    </row>
    <row r="28" spans="1:19" ht="409.5" customHeight="1" x14ac:dyDescent="0.25">
      <c r="A28" s="98"/>
      <c r="B28" s="105" t="s">
        <v>280</v>
      </c>
      <c r="C28" s="110" t="s">
        <v>117</v>
      </c>
      <c r="D28" s="110" t="s">
        <v>47</v>
      </c>
      <c r="E28" s="110" t="s">
        <v>262</v>
      </c>
      <c r="F28" s="110">
        <v>0</v>
      </c>
      <c r="G28" s="110">
        <v>20</v>
      </c>
      <c r="H28" s="110">
        <v>20</v>
      </c>
      <c r="I28" s="110">
        <v>20</v>
      </c>
      <c r="J28" s="110">
        <v>20</v>
      </c>
      <c r="K28" s="105" t="s">
        <v>281</v>
      </c>
      <c r="L28" s="98"/>
      <c r="M28" s="102"/>
      <c r="N28" s="102"/>
      <c r="O28" s="102"/>
      <c r="P28" s="98"/>
      <c r="Q28" s="98"/>
      <c r="R28" s="98"/>
      <c r="S28" s="98"/>
    </row>
    <row r="29" spans="1:19" ht="141.75" customHeight="1" x14ac:dyDescent="0.25">
      <c r="A29" s="98"/>
      <c r="B29" s="105" t="s">
        <v>282</v>
      </c>
      <c r="C29" s="110" t="s">
        <v>117</v>
      </c>
      <c r="D29" s="110" t="s">
        <v>47</v>
      </c>
      <c r="E29" s="110" t="s">
        <v>262</v>
      </c>
      <c r="F29" s="110">
        <v>0</v>
      </c>
      <c r="G29" s="110">
        <v>8</v>
      </c>
      <c r="H29" s="110">
        <v>8</v>
      </c>
      <c r="I29" s="110">
        <v>8</v>
      </c>
      <c r="J29" s="110">
        <v>8</v>
      </c>
      <c r="K29" s="105" t="s">
        <v>283</v>
      </c>
      <c r="L29" s="98"/>
      <c r="M29" s="102"/>
      <c r="N29" s="102"/>
      <c r="O29" s="102"/>
      <c r="P29" s="98"/>
      <c r="Q29" s="98"/>
      <c r="R29" s="98"/>
      <c r="S29" s="98"/>
    </row>
    <row r="30" spans="1:19" ht="94.5" customHeight="1" x14ac:dyDescent="0.25">
      <c r="A30" s="98"/>
      <c r="B30" s="105" t="s">
        <v>284</v>
      </c>
      <c r="C30" s="110" t="s">
        <v>117</v>
      </c>
      <c r="D30" s="110" t="s">
        <v>47</v>
      </c>
      <c r="E30" s="110" t="s">
        <v>262</v>
      </c>
      <c r="F30" s="110">
        <v>0</v>
      </c>
      <c r="G30" s="110">
        <v>5</v>
      </c>
      <c r="H30" s="110">
        <v>5</v>
      </c>
      <c r="I30" s="110">
        <v>5</v>
      </c>
      <c r="J30" s="110">
        <v>5</v>
      </c>
      <c r="K30" s="105" t="s">
        <v>285</v>
      </c>
      <c r="L30" s="98"/>
      <c r="M30" s="102"/>
      <c r="N30" s="102"/>
      <c r="O30" s="102"/>
      <c r="P30" s="98"/>
      <c r="Q30" s="98"/>
      <c r="R30" s="98"/>
      <c r="S30" s="98"/>
    </row>
    <row r="31" spans="1:19" ht="27" x14ac:dyDescent="0.25">
      <c r="A31" s="98"/>
      <c r="B31" s="105" t="s">
        <v>286</v>
      </c>
      <c r="C31" s="110" t="s">
        <v>117</v>
      </c>
      <c r="D31" s="110" t="s">
        <v>47</v>
      </c>
      <c r="E31" s="110" t="s">
        <v>262</v>
      </c>
      <c r="F31" s="110">
        <v>0</v>
      </c>
      <c r="G31" s="110">
        <v>5</v>
      </c>
      <c r="H31" s="110">
        <v>5</v>
      </c>
      <c r="I31" s="110">
        <v>5</v>
      </c>
      <c r="J31" s="110">
        <v>5</v>
      </c>
      <c r="K31" s="261" t="s">
        <v>287</v>
      </c>
      <c r="L31" s="98"/>
      <c r="M31" s="102"/>
      <c r="N31" s="102"/>
      <c r="O31" s="102"/>
      <c r="P31" s="98"/>
      <c r="Q31" s="98"/>
      <c r="R31" s="98"/>
      <c r="S31" s="98"/>
    </row>
    <row r="32" spans="1:19" ht="40.5" x14ac:dyDescent="0.25">
      <c r="A32" s="98"/>
      <c r="B32" s="105" t="s">
        <v>288</v>
      </c>
      <c r="C32" s="110" t="s">
        <v>117</v>
      </c>
      <c r="D32" s="110" t="s">
        <v>47</v>
      </c>
      <c r="E32" s="110" t="s">
        <v>262</v>
      </c>
      <c r="F32" s="110">
        <v>0</v>
      </c>
      <c r="G32" s="110">
        <v>36</v>
      </c>
      <c r="H32" s="110">
        <v>36</v>
      </c>
      <c r="I32" s="110">
        <v>36</v>
      </c>
      <c r="J32" s="110">
        <v>36</v>
      </c>
      <c r="K32" s="261" t="s">
        <v>289</v>
      </c>
      <c r="L32" s="98"/>
      <c r="M32" s="102"/>
      <c r="N32" s="102"/>
      <c r="O32" s="102"/>
      <c r="P32" s="98"/>
      <c r="Q32" s="98"/>
      <c r="R32" s="98"/>
      <c r="S32" s="98"/>
    </row>
    <row r="33" spans="1:19" ht="33.75" customHeight="1" x14ac:dyDescent="0.25">
      <c r="A33" s="98"/>
      <c r="B33" s="6"/>
      <c r="C33" s="6"/>
      <c r="D33" s="6"/>
      <c r="E33" s="6"/>
      <c r="F33" s="6"/>
      <c r="G33" s="6"/>
      <c r="H33" s="6"/>
      <c r="I33" s="6"/>
      <c r="J33" s="6"/>
      <c r="K33" s="98"/>
      <c r="L33" s="98"/>
      <c r="M33" s="98"/>
      <c r="N33" s="98"/>
      <c r="O33" s="98"/>
      <c r="P33" s="98"/>
      <c r="Q33" s="98"/>
      <c r="R33" s="98"/>
      <c r="S33" s="98"/>
    </row>
    <row r="34" spans="1:19" x14ac:dyDescent="0.25">
      <c r="A34" s="98"/>
      <c r="B34" s="98"/>
      <c r="C34" s="13"/>
      <c r="D34" s="13"/>
      <c r="E34" s="13"/>
      <c r="F34" s="13"/>
      <c r="G34" s="13"/>
      <c r="H34" s="13"/>
      <c r="I34" s="13"/>
      <c r="J34" s="13"/>
      <c r="K34" s="98"/>
      <c r="L34" s="98"/>
      <c r="M34" s="98"/>
      <c r="N34" s="98"/>
      <c r="O34" s="98"/>
      <c r="P34" s="98"/>
      <c r="Q34" s="98"/>
      <c r="R34" s="98"/>
      <c r="S34" s="98"/>
    </row>
    <row r="35" spans="1:19" ht="15.75" x14ac:dyDescent="0.25">
      <c r="A35" s="12" t="s">
        <v>53</v>
      </c>
      <c r="B35" s="98"/>
      <c r="C35" s="15"/>
      <c r="D35" s="15"/>
      <c r="E35" s="15"/>
      <c r="F35" s="15"/>
      <c r="G35" s="15"/>
      <c r="H35" s="15"/>
      <c r="I35" s="15"/>
      <c r="J35" s="15"/>
      <c r="K35" s="98"/>
      <c r="L35" s="98"/>
      <c r="M35" s="98"/>
      <c r="N35" s="98"/>
      <c r="O35" s="98"/>
      <c r="P35" s="98"/>
      <c r="Q35" s="98"/>
      <c r="R35" s="98"/>
      <c r="S35" s="98"/>
    </row>
    <row r="36" spans="1:19" x14ac:dyDescent="0.25">
      <c r="A36" s="115" t="s">
        <v>702</v>
      </c>
      <c r="B36" s="98"/>
      <c r="C36" s="114"/>
      <c r="D36" s="114"/>
      <c r="E36" s="13"/>
      <c r="F36" s="13"/>
      <c r="G36" s="13"/>
      <c r="H36" s="13"/>
      <c r="I36" s="13"/>
      <c r="J36" s="13"/>
      <c r="K36" s="98"/>
      <c r="L36" s="98"/>
      <c r="M36" s="98"/>
      <c r="N36" s="98"/>
      <c r="O36" s="98"/>
      <c r="P36" s="98"/>
      <c r="Q36" s="98"/>
      <c r="R36" s="98"/>
      <c r="S36" s="98"/>
    </row>
    <row r="37" spans="1:19" x14ac:dyDescent="0.25">
      <c r="A37" s="115"/>
      <c r="B37" s="114"/>
      <c r="C37" s="114"/>
      <c r="D37" s="114"/>
      <c r="E37" s="13"/>
      <c r="F37" s="13"/>
      <c r="G37" s="13"/>
      <c r="H37" s="13"/>
      <c r="I37" s="13"/>
      <c r="J37" s="13"/>
      <c r="K37" s="98"/>
      <c r="L37" s="98"/>
      <c r="M37" s="98"/>
      <c r="N37" s="98"/>
      <c r="O37" s="98"/>
      <c r="P37" s="98"/>
      <c r="Q37" s="98"/>
      <c r="R37" s="98"/>
      <c r="S37" s="98"/>
    </row>
    <row r="38" spans="1:19" x14ac:dyDescent="0.25">
      <c r="A38" s="98"/>
      <c r="B38" s="114"/>
      <c r="C38" s="114"/>
      <c r="D38" s="114"/>
      <c r="E38" s="13"/>
      <c r="F38" s="13"/>
      <c r="G38" s="13"/>
      <c r="H38" s="13"/>
      <c r="I38" s="13"/>
      <c r="J38" s="13"/>
      <c r="K38" s="98"/>
      <c r="L38" s="98"/>
      <c r="M38" s="98"/>
      <c r="N38" s="98"/>
      <c r="O38" s="98"/>
      <c r="P38" s="98"/>
      <c r="Q38" s="98"/>
      <c r="R38" s="98"/>
      <c r="S38" s="98"/>
    </row>
    <row r="39" spans="1:19" x14ac:dyDescent="0.25">
      <c r="A39" s="98"/>
      <c r="B39" s="114"/>
      <c r="C39" s="114"/>
      <c r="D39" s="114"/>
      <c r="E39" s="13"/>
      <c r="F39" s="13"/>
      <c r="G39" s="13"/>
      <c r="H39" s="13"/>
      <c r="I39" s="13"/>
      <c r="J39" s="13"/>
      <c r="K39" s="98"/>
      <c r="L39" s="98"/>
      <c r="M39" s="98"/>
      <c r="N39" s="98"/>
      <c r="O39" s="98"/>
      <c r="P39" s="98"/>
      <c r="Q39" s="98"/>
      <c r="R39" s="98"/>
      <c r="S39" s="98"/>
    </row>
    <row r="40" spans="1:19" x14ac:dyDescent="0.25">
      <c r="A40" s="98"/>
      <c r="B40" s="114"/>
      <c r="C40" s="114"/>
      <c r="D40" s="114"/>
      <c r="E40" s="13"/>
      <c r="F40" s="13"/>
      <c r="G40" s="13"/>
      <c r="H40" s="13"/>
      <c r="I40" s="13"/>
      <c r="J40" s="13"/>
      <c r="K40" s="98"/>
      <c r="L40" s="98"/>
      <c r="M40" s="98"/>
      <c r="N40" s="98"/>
      <c r="O40" s="98"/>
      <c r="P40" s="98"/>
      <c r="Q40" s="98"/>
      <c r="R40" s="98"/>
      <c r="S40" s="98"/>
    </row>
    <row r="41" spans="1:19" x14ac:dyDescent="0.25">
      <c r="A41" s="98"/>
      <c r="B41" s="98"/>
      <c r="C41" s="98"/>
      <c r="D41" s="98"/>
      <c r="E41" s="13"/>
      <c r="F41" s="13"/>
      <c r="G41" s="13"/>
      <c r="H41" s="13"/>
      <c r="I41" s="13"/>
      <c r="J41" s="13"/>
      <c r="K41" s="98"/>
      <c r="L41" s="98"/>
      <c r="M41" s="98"/>
      <c r="N41" s="98"/>
      <c r="O41" s="98"/>
      <c r="P41" s="98"/>
      <c r="Q41" s="98"/>
      <c r="R41" s="98"/>
      <c r="S41" s="98"/>
    </row>
    <row r="42" spans="1:19" x14ac:dyDescent="0.25">
      <c r="A42" s="115" t="s">
        <v>290</v>
      </c>
      <c r="B42" s="116"/>
      <c r="C42" s="117"/>
      <c r="D42" s="117"/>
      <c r="E42" s="118"/>
      <c r="F42" s="13"/>
      <c r="G42" s="13"/>
      <c r="H42" s="13"/>
      <c r="I42" s="13"/>
      <c r="J42" s="13"/>
      <c r="K42" s="98"/>
      <c r="L42" s="98"/>
      <c r="M42" s="98"/>
      <c r="N42" s="98"/>
      <c r="O42" s="98"/>
      <c r="P42" s="98"/>
      <c r="Q42" s="98"/>
      <c r="R42" s="98"/>
      <c r="S42" s="98"/>
    </row>
    <row r="43" spans="1:19" ht="31.15" customHeight="1" x14ac:dyDescent="0.25">
      <c r="A43" s="98"/>
      <c r="B43" s="378"/>
      <c r="C43" s="379"/>
      <c r="D43" s="379"/>
      <c r="E43" s="380"/>
      <c r="F43" s="13"/>
      <c r="G43" s="13"/>
      <c r="H43" s="13"/>
      <c r="I43" s="13"/>
      <c r="J43" s="13"/>
      <c r="K43" s="119"/>
      <c r="L43" s="98"/>
      <c r="M43" s="98"/>
      <c r="N43" s="98"/>
      <c r="O43" s="98"/>
      <c r="P43" s="98"/>
      <c r="Q43" s="98"/>
      <c r="R43" s="98"/>
      <c r="S43" s="98"/>
    </row>
    <row r="44" spans="1:19" x14ac:dyDescent="0.25">
      <c r="A44" s="98"/>
      <c r="B44" s="98"/>
      <c r="C44" s="98"/>
      <c r="D44" s="98"/>
      <c r="E44" s="98"/>
      <c r="F44" s="98"/>
      <c r="G44" s="98"/>
      <c r="H44" s="98"/>
      <c r="I44" s="98"/>
      <c r="J44" s="98"/>
      <c r="K44" s="98"/>
      <c r="L44" s="98"/>
      <c r="M44" s="98"/>
      <c r="N44" s="98"/>
      <c r="O44" s="98"/>
      <c r="P44" s="98"/>
      <c r="Q44" s="98"/>
      <c r="R44" s="98"/>
      <c r="S44" s="98"/>
    </row>
    <row r="45" spans="1:19" x14ac:dyDescent="0.25">
      <c r="A45" s="98"/>
      <c r="B45" s="98"/>
      <c r="C45" s="98"/>
      <c r="D45" s="98"/>
      <c r="E45" s="98"/>
      <c r="F45" s="98"/>
      <c r="G45" s="98"/>
      <c r="H45" s="98"/>
      <c r="I45" s="98"/>
      <c r="J45" s="98"/>
      <c r="K45" s="98"/>
      <c r="L45" s="98"/>
      <c r="M45" s="98"/>
      <c r="N45" s="98"/>
      <c r="O45" s="98"/>
      <c r="P45" s="98"/>
      <c r="Q45" s="98"/>
      <c r="R45" s="98"/>
      <c r="S45" s="98"/>
    </row>
    <row r="46" spans="1:19" x14ac:dyDescent="0.25">
      <c r="A46" s="7" t="s">
        <v>56</v>
      </c>
      <c r="B46" s="98"/>
      <c r="C46" s="98"/>
      <c r="D46" s="98"/>
      <c r="E46" s="98"/>
      <c r="F46" s="98"/>
      <c r="G46" s="98"/>
      <c r="H46" s="98"/>
      <c r="I46" s="98"/>
      <c r="J46" s="98"/>
      <c r="K46" s="98"/>
      <c r="L46" s="98"/>
      <c r="M46" s="98"/>
      <c r="N46" s="98"/>
      <c r="O46" s="98"/>
      <c r="P46" s="98"/>
      <c r="Q46" s="98"/>
      <c r="R46" s="98"/>
      <c r="S46" s="98"/>
    </row>
    <row r="47" spans="1:19" x14ac:dyDescent="0.25">
      <c r="A47" s="98"/>
      <c r="B47" s="98"/>
      <c r="C47" s="98"/>
      <c r="D47" s="98"/>
      <c r="E47" s="98"/>
      <c r="F47" s="98"/>
      <c r="G47" s="98"/>
      <c r="H47" s="98"/>
      <c r="I47" s="98"/>
      <c r="J47" s="98"/>
      <c r="K47" s="98"/>
      <c r="L47" s="98"/>
      <c r="M47" s="98"/>
      <c r="N47" s="98"/>
      <c r="O47" s="98"/>
      <c r="P47" s="98"/>
      <c r="Q47" s="98"/>
      <c r="R47" s="98"/>
      <c r="S47" s="98"/>
    </row>
    <row r="48" spans="1:19" ht="43.5" customHeight="1" x14ac:dyDescent="0.25">
      <c r="A48" s="98"/>
      <c r="B48" s="381" t="s">
        <v>291</v>
      </c>
      <c r="C48" s="120" t="s">
        <v>292</v>
      </c>
      <c r="D48" s="120" t="s">
        <v>293</v>
      </c>
      <c r="E48" s="382" t="s">
        <v>294</v>
      </c>
      <c r="F48" s="382"/>
      <c r="G48" s="382"/>
      <c r="H48" s="382" t="s">
        <v>295</v>
      </c>
      <c r="I48" s="382"/>
      <c r="J48" s="382"/>
      <c r="K48" s="382" t="s">
        <v>296</v>
      </c>
      <c r="L48" s="382"/>
      <c r="M48" s="382"/>
      <c r="N48" s="382" t="s">
        <v>297</v>
      </c>
      <c r="O48" s="382"/>
      <c r="P48" s="382"/>
      <c r="Q48" s="377" t="s">
        <v>298</v>
      </c>
      <c r="R48" s="377"/>
      <c r="S48" s="377"/>
    </row>
    <row r="49" spans="1:19" ht="30" customHeight="1" x14ac:dyDescent="0.25">
      <c r="A49" s="98"/>
      <c r="B49" s="381"/>
      <c r="C49" s="120" t="s">
        <v>35</v>
      </c>
      <c r="D49" s="120" t="s">
        <v>36</v>
      </c>
      <c r="E49" s="121" t="s">
        <v>0</v>
      </c>
      <c r="F49" s="121" t="s">
        <v>1</v>
      </c>
      <c r="G49" s="121" t="s">
        <v>3</v>
      </c>
      <c r="H49" s="121" t="s">
        <v>0</v>
      </c>
      <c r="I49" s="121" t="s">
        <v>1</v>
      </c>
      <c r="J49" s="121" t="s">
        <v>3</v>
      </c>
      <c r="K49" s="121" t="s">
        <v>39</v>
      </c>
      <c r="L49" s="121" t="s">
        <v>38</v>
      </c>
      <c r="M49" s="121" t="s">
        <v>37</v>
      </c>
      <c r="N49" s="121" t="s">
        <v>39</v>
      </c>
      <c r="O49" s="121" t="s">
        <v>38</v>
      </c>
      <c r="P49" s="121" t="s">
        <v>37</v>
      </c>
      <c r="Q49" s="122" t="s">
        <v>0</v>
      </c>
      <c r="R49" s="122" t="s">
        <v>1</v>
      </c>
      <c r="S49" s="122" t="s">
        <v>3</v>
      </c>
    </row>
    <row r="50" spans="1:19" ht="27" x14ac:dyDescent="0.25">
      <c r="A50" s="98"/>
      <c r="B50" s="123" t="s">
        <v>261</v>
      </c>
      <c r="C50" s="124">
        <v>2800</v>
      </c>
      <c r="D50" s="124">
        <v>6222.52</v>
      </c>
      <c r="E50" s="125"/>
      <c r="F50" s="124"/>
      <c r="G50" s="125"/>
      <c r="H50" s="280">
        <f>+D50-C50</f>
        <v>3422.5200000000004</v>
      </c>
      <c r="I50" s="280">
        <f>+D50-C50</f>
        <v>3422.5200000000004</v>
      </c>
      <c r="J50" s="280">
        <f>+D50-C50</f>
        <v>3422.5200000000004</v>
      </c>
      <c r="K50" s="282">
        <f>+C50+E50+H50</f>
        <v>6222.52</v>
      </c>
      <c r="L50" s="126">
        <f t="shared" ref="L50:L63" si="0">C50+F50+I50</f>
        <v>6222.52</v>
      </c>
      <c r="M50" s="126">
        <f t="shared" ref="M50:M63" si="1">C50+G50+J50</f>
        <v>6222.52</v>
      </c>
      <c r="N50" s="127"/>
      <c r="O50" s="127"/>
      <c r="P50" s="127"/>
      <c r="Q50" s="128">
        <f>K50+N50</f>
        <v>6222.52</v>
      </c>
      <c r="R50" s="122">
        <f>L50+O50</f>
        <v>6222.52</v>
      </c>
      <c r="S50" s="122">
        <f>M50+P50</f>
        <v>6222.52</v>
      </c>
    </row>
    <row r="51" spans="1:19" ht="40.5" x14ac:dyDescent="0.25">
      <c r="A51" s="98"/>
      <c r="B51" s="123" t="s">
        <v>264</v>
      </c>
      <c r="C51" s="124">
        <v>2800</v>
      </c>
      <c r="D51" s="124">
        <v>6650</v>
      </c>
      <c r="E51" s="125"/>
      <c r="F51" s="124"/>
      <c r="G51" s="125"/>
      <c r="H51" s="280">
        <f t="shared" ref="H51:H63" si="2">+D51-C51</f>
        <v>3850</v>
      </c>
      <c r="I51" s="280">
        <f t="shared" ref="I51:I63" si="3">+D51-C51</f>
        <v>3850</v>
      </c>
      <c r="J51" s="280">
        <f t="shared" ref="J51:J63" si="4">+D51-C51</f>
        <v>3850</v>
      </c>
      <c r="K51" s="282">
        <f t="shared" ref="K51:K63" si="5">+C51+E51+H51</f>
        <v>6650</v>
      </c>
      <c r="L51" s="126">
        <f t="shared" si="0"/>
        <v>6650</v>
      </c>
      <c r="M51" s="126">
        <f t="shared" si="1"/>
        <v>6650</v>
      </c>
      <c r="N51" s="127"/>
      <c r="O51" s="127"/>
      <c r="P51" s="127"/>
      <c r="Q51" s="122"/>
      <c r="R51" s="122"/>
      <c r="S51" s="122"/>
    </row>
    <row r="52" spans="1:19" ht="25.15" customHeight="1" x14ac:dyDescent="0.25">
      <c r="A52" s="98"/>
      <c r="B52" s="123" t="s">
        <v>266</v>
      </c>
      <c r="C52" s="124">
        <v>12250</v>
      </c>
      <c r="D52" s="124">
        <v>14000</v>
      </c>
      <c r="E52" s="125"/>
      <c r="F52" s="124"/>
      <c r="G52" s="125"/>
      <c r="H52" s="280">
        <f t="shared" si="2"/>
        <v>1750</v>
      </c>
      <c r="I52" s="280">
        <f t="shared" si="3"/>
        <v>1750</v>
      </c>
      <c r="J52" s="280">
        <f t="shared" si="4"/>
        <v>1750</v>
      </c>
      <c r="K52" s="282">
        <f>+C52+E52+H52</f>
        <v>14000</v>
      </c>
      <c r="L52" s="126">
        <f t="shared" si="0"/>
        <v>14000</v>
      </c>
      <c r="M52" s="126">
        <f t="shared" si="1"/>
        <v>14000</v>
      </c>
      <c r="N52" s="127"/>
      <c r="O52" s="127"/>
      <c r="P52" s="127"/>
      <c r="Q52" s="122"/>
      <c r="R52" s="122"/>
      <c r="S52" s="122"/>
    </row>
    <row r="53" spans="1:19" ht="25.15" customHeight="1" x14ac:dyDescent="0.25">
      <c r="A53" s="98"/>
      <c r="B53" s="123" t="s">
        <v>268</v>
      </c>
      <c r="C53" s="124">
        <v>800</v>
      </c>
      <c r="D53" s="124">
        <v>1500</v>
      </c>
      <c r="E53" s="125"/>
      <c r="F53" s="124"/>
      <c r="G53" s="125"/>
      <c r="H53" s="280">
        <f t="shared" si="2"/>
        <v>700</v>
      </c>
      <c r="I53" s="280">
        <f t="shared" si="3"/>
        <v>700</v>
      </c>
      <c r="J53" s="280">
        <f t="shared" si="4"/>
        <v>700</v>
      </c>
      <c r="K53" s="282">
        <f t="shared" si="5"/>
        <v>1500</v>
      </c>
      <c r="L53" s="126">
        <f t="shared" si="0"/>
        <v>1500</v>
      </c>
      <c r="M53" s="126">
        <f t="shared" si="1"/>
        <v>1500</v>
      </c>
      <c r="N53" s="127"/>
      <c r="O53" s="127"/>
      <c r="P53" s="127"/>
      <c r="Q53" s="122"/>
      <c r="R53" s="122"/>
      <c r="S53" s="122"/>
    </row>
    <row r="54" spans="1:19" ht="25.15" customHeight="1" x14ac:dyDescent="0.25">
      <c r="A54" s="98"/>
      <c r="B54" s="105" t="s">
        <v>270</v>
      </c>
      <c r="C54" s="313">
        <v>2192.71</v>
      </c>
      <c r="D54" s="124">
        <v>3654.5</v>
      </c>
      <c r="E54" s="125"/>
      <c r="F54" s="124"/>
      <c r="G54" s="125"/>
      <c r="H54" s="280">
        <f t="shared" si="2"/>
        <v>1461.79</v>
      </c>
      <c r="I54" s="280">
        <f t="shared" si="3"/>
        <v>1461.79</v>
      </c>
      <c r="J54" s="280">
        <f t="shared" si="4"/>
        <v>1461.79</v>
      </c>
      <c r="K54" s="282">
        <f t="shared" si="5"/>
        <v>3654.5</v>
      </c>
      <c r="L54" s="126">
        <f t="shared" si="0"/>
        <v>3654.5</v>
      </c>
      <c r="M54" s="126">
        <f t="shared" si="1"/>
        <v>3654.5</v>
      </c>
      <c r="N54" s="127"/>
      <c r="O54" s="127"/>
      <c r="P54" s="127"/>
      <c r="Q54" s="122"/>
      <c r="R54" s="122"/>
      <c r="S54" s="122"/>
    </row>
    <row r="55" spans="1:19" ht="54" x14ac:dyDescent="0.25">
      <c r="A55" s="98"/>
      <c r="B55" s="105" t="s">
        <v>272</v>
      </c>
      <c r="C55" s="124">
        <v>3000</v>
      </c>
      <c r="D55" s="124">
        <v>3333.34</v>
      </c>
      <c r="E55" s="125"/>
      <c r="F55" s="124"/>
      <c r="G55" s="125"/>
      <c r="H55" s="280">
        <f t="shared" si="2"/>
        <v>333.34000000000015</v>
      </c>
      <c r="I55" s="280">
        <f t="shared" si="3"/>
        <v>333.34000000000015</v>
      </c>
      <c r="J55" s="280">
        <f t="shared" si="4"/>
        <v>333.34000000000015</v>
      </c>
      <c r="K55" s="282">
        <f t="shared" si="5"/>
        <v>3333.34</v>
      </c>
      <c r="L55" s="126">
        <f t="shared" si="0"/>
        <v>3333.34</v>
      </c>
      <c r="M55" s="126">
        <f t="shared" si="1"/>
        <v>3333.34</v>
      </c>
      <c r="N55" s="127"/>
      <c r="O55" s="127"/>
      <c r="P55" s="127"/>
      <c r="Q55" s="122"/>
      <c r="R55" s="122"/>
      <c r="S55" s="122"/>
    </row>
    <row r="56" spans="1:19" ht="24.6" customHeight="1" x14ac:dyDescent="0.25">
      <c r="A56" s="98"/>
      <c r="B56" s="105" t="s">
        <v>274</v>
      </c>
      <c r="C56" s="124">
        <v>0</v>
      </c>
      <c r="D56" s="124">
        <v>0</v>
      </c>
      <c r="E56" s="125"/>
      <c r="F56" s="124"/>
      <c r="G56" s="125"/>
      <c r="H56" s="280">
        <f t="shared" si="2"/>
        <v>0</v>
      </c>
      <c r="I56" s="280">
        <f t="shared" si="3"/>
        <v>0</v>
      </c>
      <c r="J56" s="280">
        <f t="shared" si="4"/>
        <v>0</v>
      </c>
      <c r="K56" s="282">
        <f t="shared" si="5"/>
        <v>0</v>
      </c>
      <c r="L56" s="126">
        <f t="shared" si="0"/>
        <v>0</v>
      </c>
      <c r="M56" s="126">
        <f t="shared" si="1"/>
        <v>0</v>
      </c>
      <c r="N56" s="127"/>
      <c r="O56" s="127"/>
      <c r="P56" s="127"/>
      <c r="Q56" s="122"/>
      <c r="R56" s="122"/>
      <c r="S56" s="122"/>
    </row>
    <row r="57" spans="1:19" ht="40.5" x14ac:dyDescent="0.25">
      <c r="A57" s="98"/>
      <c r="B57" s="105" t="s">
        <v>276</v>
      </c>
      <c r="C57" s="124">
        <f>7*1500</f>
        <v>10500</v>
      </c>
      <c r="D57" s="124">
        <v>16500</v>
      </c>
      <c r="E57" s="125"/>
      <c r="F57" s="124"/>
      <c r="G57" s="125"/>
      <c r="H57" s="280">
        <f t="shared" si="2"/>
        <v>6000</v>
      </c>
      <c r="I57" s="280">
        <f t="shared" si="3"/>
        <v>6000</v>
      </c>
      <c r="J57" s="280">
        <f t="shared" si="4"/>
        <v>6000</v>
      </c>
      <c r="K57" s="282">
        <f t="shared" si="5"/>
        <v>16500</v>
      </c>
      <c r="L57" s="126">
        <f t="shared" si="0"/>
        <v>16500</v>
      </c>
      <c r="M57" s="126">
        <f t="shared" si="1"/>
        <v>16500</v>
      </c>
      <c r="N57" s="127"/>
      <c r="O57" s="127"/>
      <c r="P57" s="127"/>
      <c r="Q57" s="122"/>
      <c r="R57" s="122"/>
      <c r="S57" s="122"/>
    </row>
    <row r="58" spans="1:19" ht="54" x14ac:dyDescent="0.25">
      <c r="A58" s="98"/>
      <c r="B58" s="105" t="s">
        <v>278</v>
      </c>
      <c r="C58" s="124">
        <v>1800</v>
      </c>
      <c r="D58" s="124">
        <v>7200</v>
      </c>
      <c r="E58" s="125"/>
      <c r="F58" s="124"/>
      <c r="G58" s="125"/>
      <c r="H58" s="280">
        <f t="shared" si="2"/>
        <v>5400</v>
      </c>
      <c r="I58" s="280">
        <f t="shared" si="3"/>
        <v>5400</v>
      </c>
      <c r="J58" s="280">
        <f t="shared" si="4"/>
        <v>5400</v>
      </c>
      <c r="K58" s="282">
        <f>+C58+E58+H58</f>
        <v>7200</v>
      </c>
      <c r="L58" s="126">
        <f t="shared" si="0"/>
        <v>7200</v>
      </c>
      <c r="M58" s="126">
        <f t="shared" si="1"/>
        <v>7200</v>
      </c>
      <c r="N58" s="127"/>
      <c r="O58" s="127"/>
      <c r="P58" s="127"/>
      <c r="Q58" s="122"/>
      <c r="R58" s="122"/>
      <c r="S58" s="122"/>
    </row>
    <row r="59" spans="1:19" ht="27" x14ac:dyDescent="0.25">
      <c r="A59" s="98"/>
      <c r="B59" s="105" t="s">
        <v>280</v>
      </c>
      <c r="C59" s="124">
        <f>+O28</f>
        <v>0</v>
      </c>
      <c r="D59" s="124">
        <v>16363.635999999999</v>
      </c>
      <c r="E59" s="125"/>
      <c r="F59" s="124"/>
      <c r="G59" s="125"/>
      <c r="H59" s="280">
        <f t="shared" si="2"/>
        <v>16363.635999999999</v>
      </c>
      <c r="I59" s="280">
        <f t="shared" si="3"/>
        <v>16363.635999999999</v>
      </c>
      <c r="J59" s="280">
        <f t="shared" si="4"/>
        <v>16363.635999999999</v>
      </c>
      <c r="K59" s="282">
        <f t="shared" si="5"/>
        <v>16363.635999999999</v>
      </c>
      <c r="L59" s="126">
        <f t="shared" si="0"/>
        <v>16363.635999999999</v>
      </c>
      <c r="M59" s="126">
        <f t="shared" si="1"/>
        <v>16363.635999999999</v>
      </c>
      <c r="N59" s="127"/>
      <c r="O59" s="127"/>
      <c r="P59" s="127"/>
      <c r="Q59" s="122"/>
      <c r="R59" s="122"/>
      <c r="S59" s="122"/>
    </row>
    <row r="60" spans="1:19" ht="81" x14ac:dyDescent="0.25">
      <c r="A60" s="98"/>
      <c r="B60" s="105" t="s">
        <v>282</v>
      </c>
      <c r="C60" s="124">
        <f>+O29</f>
        <v>0</v>
      </c>
      <c r="D60" s="124">
        <v>80000</v>
      </c>
      <c r="E60" s="125"/>
      <c r="F60" s="124"/>
      <c r="G60" s="125"/>
      <c r="H60" s="280">
        <f t="shared" si="2"/>
        <v>80000</v>
      </c>
      <c r="I60" s="280">
        <f t="shared" si="3"/>
        <v>80000</v>
      </c>
      <c r="J60" s="280">
        <f t="shared" si="4"/>
        <v>80000</v>
      </c>
      <c r="K60" s="282">
        <f>+C60+E60+H60</f>
        <v>80000</v>
      </c>
      <c r="L60" s="126">
        <f t="shared" si="0"/>
        <v>80000</v>
      </c>
      <c r="M60" s="126">
        <f t="shared" si="1"/>
        <v>80000</v>
      </c>
      <c r="N60" s="127"/>
      <c r="O60" s="127"/>
      <c r="P60" s="127"/>
      <c r="Q60" s="122"/>
      <c r="R60" s="122"/>
      <c r="S60" s="122"/>
    </row>
    <row r="61" spans="1:19" ht="27" x14ac:dyDescent="0.25">
      <c r="A61" s="98"/>
      <c r="B61" s="105" t="s">
        <v>284</v>
      </c>
      <c r="C61" s="124">
        <f>+O30</f>
        <v>0</v>
      </c>
      <c r="D61" s="124">
        <v>5000</v>
      </c>
      <c r="E61" s="125"/>
      <c r="F61" s="124"/>
      <c r="G61" s="125"/>
      <c r="H61" s="280">
        <f t="shared" si="2"/>
        <v>5000</v>
      </c>
      <c r="I61" s="280">
        <f t="shared" si="3"/>
        <v>5000</v>
      </c>
      <c r="J61" s="280">
        <f t="shared" si="4"/>
        <v>5000</v>
      </c>
      <c r="K61" s="282">
        <f t="shared" si="5"/>
        <v>5000</v>
      </c>
      <c r="L61" s="126">
        <f t="shared" si="0"/>
        <v>5000</v>
      </c>
      <c r="M61" s="126">
        <f t="shared" si="1"/>
        <v>5000</v>
      </c>
      <c r="N61" s="127"/>
      <c r="O61" s="127"/>
      <c r="P61" s="127"/>
      <c r="Q61" s="122"/>
      <c r="R61" s="122"/>
      <c r="S61" s="122"/>
    </row>
    <row r="62" spans="1:19" ht="27" x14ac:dyDescent="0.25">
      <c r="A62" s="98"/>
      <c r="B62" s="130" t="s">
        <v>703</v>
      </c>
      <c r="C62" s="124">
        <f>+O31</f>
        <v>0</v>
      </c>
      <c r="D62" s="124">
        <v>50000</v>
      </c>
      <c r="E62" s="125"/>
      <c r="F62" s="124"/>
      <c r="G62" s="125"/>
      <c r="H62" s="280">
        <f t="shared" si="2"/>
        <v>50000</v>
      </c>
      <c r="I62" s="280">
        <f t="shared" si="3"/>
        <v>50000</v>
      </c>
      <c r="J62" s="280">
        <f t="shared" si="4"/>
        <v>50000</v>
      </c>
      <c r="K62" s="282">
        <f t="shared" si="5"/>
        <v>50000</v>
      </c>
      <c r="L62" s="126">
        <f t="shared" si="0"/>
        <v>50000</v>
      </c>
      <c r="M62" s="126">
        <f t="shared" si="1"/>
        <v>50000</v>
      </c>
      <c r="N62" s="127"/>
      <c r="O62" s="127"/>
      <c r="P62" s="127"/>
      <c r="Q62" s="122"/>
      <c r="R62" s="122"/>
      <c r="S62" s="122"/>
    </row>
    <row r="63" spans="1:19" ht="40.5" x14ac:dyDescent="0.25">
      <c r="A63" s="98"/>
      <c r="B63" s="105" t="s">
        <v>288</v>
      </c>
      <c r="C63" s="124">
        <f>+O32</f>
        <v>0</v>
      </c>
      <c r="D63" s="124">
        <v>9576</v>
      </c>
      <c r="E63" s="125"/>
      <c r="F63" s="124"/>
      <c r="G63" s="125"/>
      <c r="H63" s="280">
        <f t="shared" si="2"/>
        <v>9576</v>
      </c>
      <c r="I63" s="280">
        <f t="shared" si="3"/>
        <v>9576</v>
      </c>
      <c r="J63" s="280">
        <f t="shared" si="4"/>
        <v>9576</v>
      </c>
      <c r="K63" s="282">
        <f t="shared" si="5"/>
        <v>9576</v>
      </c>
      <c r="L63" s="126">
        <f t="shared" si="0"/>
        <v>9576</v>
      </c>
      <c r="M63" s="126">
        <f t="shared" si="1"/>
        <v>9576</v>
      </c>
      <c r="N63" s="127"/>
      <c r="O63" s="127"/>
      <c r="P63" s="127"/>
      <c r="Q63" s="122"/>
      <c r="R63" s="122"/>
      <c r="S63" s="122"/>
    </row>
    <row r="64" spans="1:19" ht="28.5" x14ac:dyDescent="0.25">
      <c r="A64" s="98"/>
      <c r="B64" s="129" t="s">
        <v>299</v>
      </c>
      <c r="C64" s="125">
        <f>C50+C51+C52+C53+C54+C55+C56+C57+C58+C59+C60+C61+C62+C63</f>
        <v>36142.71</v>
      </c>
      <c r="D64" s="125">
        <f>D50+D51+D52+D53+D54+D55+D56+D57+D58+D59+D60+D61+D62+D63</f>
        <v>219999.99599999998</v>
      </c>
      <c r="E64" s="121">
        <f t="shared" ref="E64:J64" si="6">SUM(E50:E63)</f>
        <v>0</v>
      </c>
      <c r="F64" s="121">
        <f t="shared" si="6"/>
        <v>0</v>
      </c>
      <c r="G64" s="121">
        <f t="shared" si="6"/>
        <v>0</v>
      </c>
      <c r="H64" s="281">
        <f t="shared" si="6"/>
        <v>183857.28599999999</v>
      </c>
      <c r="I64" s="281">
        <f t="shared" si="6"/>
        <v>183857.28599999999</v>
      </c>
      <c r="J64" s="281">
        <f t="shared" si="6"/>
        <v>183857.28599999999</v>
      </c>
      <c r="K64" s="282">
        <f>C64+E64+H64</f>
        <v>219999.99599999998</v>
      </c>
      <c r="L64" s="126">
        <f>C64+F64+I64</f>
        <v>219999.99599999998</v>
      </c>
      <c r="M64" s="126">
        <f>C64+G64+J64</f>
        <v>219999.99599999998</v>
      </c>
      <c r="N64" s="120" t="s">
        <v>2</v>
      </c>
      <c r="O64" s="120" t="s">
        <v>2</v>
      </c>
      <c r="P64" s="120" t="s">
        <v>2</v>
      </c>
      <c r="Q64" s="122" t="s">
        <v>2</v>
      </c>
      <c r="R64" s="122" t="s">
        <v>2</v>
      </c>
      <c r="S64" s="122" t="s">
        <v>2</v>
      </c>
    </row>
    <row r="65" spans="1:19" ht="28.5" x14ac:dyDescent="0.25">
      <c r="A65" s="98"/>
      <c r="B65" s="129" t="s">
        <v>300</v>
      </c>
      <c r="C65" s="130"/>
      <c r="D65" s="130"/>
      <c r="E65" s="121" t="s">
        <v>72</v>
      </c>
      <c r="F65" s="121" t="s">
        <v>72</v>
      </c>
      <c r="G65" s="121" t="s">
        <v>72</v>
      </c>
      <c r="H65" s="281" t="s">
        <v>72</v>
      </c>
      <c r="I65" s="281" t="s">
        <v>72</v>
      </c>
      <c r="J65" s="281" t="s">
        <v>72</v>
      </c>
      <c r="K65" s="282">
        <f>C65</f>
        <v>0</v>
      </c>
      <c r="L65" s="126">
        <f>C65</f>
        <v>0</v>
      </c>
      <c r="M65" s="126">
        <f>C65</f>
        <v>0</v>
      </c>
      <c r="N65" s="120" t="s">
        <v>2</v>
      </c>
      <c r="O65" s="120" t="s">
        <v>2</v>
      </c>
      <c r="P65" s="120" t="s">
        <v>2</v>
      </c>
      <c r="Q65" s="122" t="s">
        <v>2</v>
      </c>
      <c r="R65" s="122" t="s">
        <v>2</v>
      </c>
      <c r="S65" s="122" t="s">
        <v>2</v>
      </c>
    </row>
    <row r="66" spans="1:19" s="199" customFormat="1" ht="23.45" customHeight="1" x14ac:dyDescent="0.25">
      <c r="A66" s="254"/>
      <c r="B66" s="250" t="s">
        <v>699</v>
      </c>
      <c r="C66" s="283">
        <f>+C64+C65</f>
        <v>36142.71</v>
      </c>
      <c r="D66" s="283">
        <f>+D64+D65</f>
        <v>219999.99599999998</v>
      </c>
      <c r="E66" s="284">
        <f>E64</f>
        <v>0</v>
      </c>
      <c r="F66" s="284">
        <f t="shared" ref="F66:J66" si="7">F64</f>
        <v>0</v>
      </c>
      <c r="G66" s="284">
        <f t="shared" si="7"/>
        <v>0</v>
      </c>
      <c r="H66" s="251">
        <f t="shared" si="7"/>
        <v>183857.28599999999</v>
      </c>
      <c r="I66" s="251">
        <f t="shared" si="7"/>
        <v>183857.28599999999</v>
      </c>
      <c r="J66" s="251">
        <f t="shared" si="7"/>
        <v>183857.28599999999</v>
      </c>
      <c r="K66" s="285">
        <f>K64+K65</f>
        <v>219999.99599999998</v>
      </c>
      <c r="L66" s="286">
        <f t="shared" ref="L66:M66" si="8">L64+L65</f>
        <v>219999.99599999998</v>
      </c>
      <c r="M66" s="286">
        <f t="shared" si="8"/>
        <v>219999.99599999998</v>
      </c>
      <c r="N66" s="287">
        <f>SUM(N50:N63)</f>
        <v>0</v>
      </c>
      <c r="O66" s="287">
        <f>SUM(O50:O63)</f>
        <v>0</v>
      </c>
      <c r="P66" s="287">
        <f>SUM(P50:P63)</f>
        <v>0</v>
      </c>
      <c r="Q66" s="288">
        <f>K66+N66</f>
        <v>219999.99599999998</v>
      </c>
      <c r="R66" s="288">
        <f>L66+O66</f>
        <v>219999.99599999998</v>
      </c>
      <c r="S66" s="288">
        <f>M66+P66</f>
        <v>219999.99599999998</v>
      </c>
    </row>
  </sheetData>
  <mergeCells count="13">
    <mergeCell ref="Q48:S48"/>
    <mergeCell ref="B43:E43"/>
    <mergeCell ref="B48:B49"/>
    <mergeCell ref="E48:G48"/>
    <mergeCell ref="H48:J48"/>
    <mergeCell ref="K48:M48"/>
    <mergeCell ref="N48:P48"/>
    <mergeCell ref="K17:K18"/>
    <mergeCell ref="B17:B18"/>
    <mergeCell ref="C17:C18"/>
    <mergeCell ref="D17:D18"/>
    <mergeCell ref="E17:E18"/>
    <mergeCell ref="F17:J17"/>
  </mergeCells>
  <phoneticPr fontId="46" type="noConversion"/>
  <dataValidations count="4">
    <dataValidation type="custom" allowBlank="1" showInputMessage="1" showErrorMessage="1" sqref="N50:P63" xr:uid="{312E957C-2D76-4684-AE4E-BC5AE5E42432}">
      <formula1>"-"</formula1>
    </dataValidation>
    <dataValidation type="list" allowBlank="1" showInputMessage="1" showErrorMessage="1" sqref="D19:D32" xr:uid="{9D6A8437-0622-4AA7-860A-4563152D82FE}">
      <formula1>$V$2:$V$3</formula1>
    </dataValidation>
    <dataValidation showInputMessage="1" showErrorMessage="1" sqref="E19:E32" xr:uid="{13E8D80B-4A96-469D-9A03-D2C3A71AADA3}"/>
    <dataValidation type="list" allowBlank="1" showInputMessage="1" showErrorMessage="1" sqref="B13" xr:uid="{1B87C22C-F005-44F8-904A-58FFB5992BF4}">
      <formula1>$U$2:$U$4</formula1>
    </dataValidation>
  </dataValidations>
  <hyperlinks>
    <hyperlink ref="C12" location="_ftn1" display="_ftn1" xr:uid="{87BF7D61-3B19-4D9F-9B05-C231D0C0DDCC}"/>
    <hyperlink ref="D12" location="_ftn2" display="_ftn2" xr:uid="{2E8DE85A-0745-498B-9A79-C6EE9B069D22}"/>
    <hyperlink ref="E12" location="_ftn3" display="_ftn3" xr:uid="{47458A14-BC5F-4EAD-A3D9-9A1D5CCFF0E3}"/>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9" r:id="rId3" name="Check Box 1">
              <controlPr defaultSize="0" autoFill="0" autoLine="0" autoPict="0">
                <anchor moveWithCells="1">
                  <from>
                    <xdr:col>1</xdr:col>
                    <xdr:colOff>85725</xdr:colOff>
                    <xdr:row>38</xdr:row>
                    <xdr:rowOff>0</xdr:rowOff>
                  </from>
                  <to>
                    <xdr:col>2</xdr:col>
                    <xdr:colOff>1171575</xdr:colOff>
                    <xdr:row>39</xdr:row>
                    <xdr:rowOff>38100</xdr:rowOff>
                  </to>
                </anchor>
              </controlPr>
            </control>
          </mc:Choice>
        </mc:AlternateContent>
        <mc:AlternateContent xmlns:mc="http://schemas.openxmlformats.org/markup-compatibility/2006">
          <mc:Choice Requires="x14">
            <control shapeId="7170" r:id="rId4" name="Check Box 2">
              <controlPr defaultSize="0" autoFill="0" autoLine="0" autoPict="0">
                <anchor moveWithCells="1">
                  <from>
                    <xdr:col>1</xdr:col>
                    <xdr:colOff>85725</xdr:colOff>
                    <xdr:row>35</xdr:row>
                    <xdr:rowOff>171450</xdr:rowOff>
                  </from>
                  <to>
                    <xdr:col>3</xdr:col>
                    <xdr:colOff>266700</xdr:colOff>
                    <xdr:row>37</xdr:row>
                    <xdr:rowOff>57150</xdr:rowOff>
                  </to>
                </anchor>
              </controlPr>
            </control>
          </mc:Choice>
        </mc:AlternateContent>
        <mc:AlternateContent xmlns:mc="http://schemas.openxmlformats.org/markup-compatibility/2006">
          <mc:Choice Requires="x14">
            <control shapeId="7171" r:id="rId5" name="Check Box 3">
              <controlPr defaultSize="0" autoFill="0" autoLine="0" autoPict="0">
                <anchor moveWithCells="1">
                  <from>
                    <xdr:col>1</xdr:col>
                    <xdr:colOff>85725</xdr:colOff>
                    <xdr:row>37</xdr:row>
                    <xdr:rowOff>28575</xdr:rowOff>
                  </from>
                  <to>
                    <xdr:col>3</xdr:col>
                    <xdr:colOff>266700</xdr:colOff>
                    <xdr:row>38</xdr:row>
                    <xdr:rowOff>9525</xdr:rowOff>
                  </to>
                </anchor>
              </controlPr>
            </control>
          </mc:Choice>
        </mc:AlternateContent>
        <mc:AlternateContent xmlns:mc="http://schemas.openxmlformats.org/markup-compatibility/2006">
          <mc:Choice Requires="x14">
            <control shapeId="7172" r:id="rId6" name="Check Box 4">
              <controlPr defaultSize="0" autoFill="0" autoLine="0" autoPict="0">
                <anchor moveWithCells="1">
                  <from>
                    <xdr:col>1</xdr:col>
                    <xdr:colOff>95250</xdr:colOff>
                    <xdr:row>39</xdr:row>
                    <xdr:rowOff>9525</xdr:rowOff>
                  </from>
                  <to>
                    <xdr:col>2</xdr:col>
                    <xdr:colOff>571500</xdr:colOff>
                    <xdr:row>40</xdr:row>
                    <xdr:rowOff>9525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73D14-376B-40A4-A9C2-D7AAACFF6C08}">
  <dimension ref="A1:W45"/>
  <sheetViews>
    <sheetView topLeftCell="A25" workbookViewId="0">
      <selection activeCell="E45" sqref="E45"/>
    </sheetView>
  </sheetViews>
  <sheetFormatPr defaultRowHeight="15" x14ac:dyDescent="0.25"/>
  <cols>
    <col min="1" max="1" width="6" customWidth="1"/>
    <col min="2" max="2" width="34.42578125" customWidth="1"/>
    <col min="3" max="3" width="23.42578125" customWidth="1"/>
    <col min="4" max="4" width="19.140625" customWidth="1"/>
    <col min="5" max="5" width="17.140625" customWidth="1"/>
    <col min="6" max="6" width="15.85546875" customWidth="1"/>
    <col min="7" max="7" width="14.28515625" customWidth="1"/>
    <col min="8" max="8" width="13" customWidth="1"/>
    <col min="9" max="9" width="10.42578125" customWidth="1"/>
    <col min="10" max="10" width="14" customWidth="1"/>
    <col min="11" max="11" width="17.140625" customWidth="1"/>
    <col min="12" max="12" width="11.7109375" customWidth="1"/>
    <col min="13" max="13" width="13.140625" customWidth="1"/>
    <col min="14" max="14" width="9.5703125" customWidth="1"/>
    <col min="15" max="15" width="8.140625" customWidth="1"/>
    <col min="16" max="16" width="8" customWidth="1"/>
    <col min="17" max="19" width="11"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42" customHeight="1" x14ac:dyDescent="0.25">
      <c r="B5" s="25" t="s">
        <v>79</v>
      </c>
      <c r="C5" s="20">
        <v>1058</v>
      </c>
      <c r="E5" s="25" t="s">
        <v>83</v>
      </c>
      <c r="F5" s="20"/>
      <c r="H5" s="3"/>
      <c r="I5" s="3"/>
      <c r="J5" s="3"/>
    </row>
    <row r="6" spans="1:23" ht="53.25" customHeight="1" x14ac:dyDescent="0.25">
      <c r="B6" s="25" t="s">
        <v>80</v>
      </c>
      <c r="C6" s="29" t="s">
        <v>731</v>
      </c>
      <c r="E6" s="25" t="s">
        <v>84</v>
      </c>
      <c r="F6" s="20" t="s">
        <v>132</v>
      </c>
      <c r="H6" s="3"/>
      <c r="I6" s="3"/>
      <c r="J6" s="3"/>
    </row>
    <row r="7" spans="1:23" ht="18" customHeight="1" x14ac:dyDescent="0.25">
      <c r="B7" s="25" t="s">
        <v>81</v>
      </c>
      <c r="C7" s="20">
        <v>31001</v>
      </c>
      <c r="H7" s="3"/>
      <c r="I7" s="3"/>
      <c r="J7" s="3"/>
    </row>
    <row r="8" spans="1:23" ht="66" customHeight="1" x14ac:dyDescent="0.25">
      <c r="B8" s="25" t="s">
        <v>82</v>
      </c>
      <c r="C8" s="29" t="s">
        <v>742</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83.25" customHeight="1" x14ac:dyDescent="0.25">
      <c r="B12" s="10" t="s">
        <v>85</v>
      </c>
      <c r="C12" s="28" t="s">
        <v>86</v>
      </c>
      <c r="D12" s="28" t="s">
        <v>87</v>
      </c>
      <c r="E12" s="28" t="s">
        <v>88</v>
      </c>
      <c r="F12" s="3"/>
      <c r="G12" s="3"/>
      <c r="H12" s="3"/>
      <c r="I12" s="3"/>
      <c r="J12" s="3"/>
    </row>
    <row r="13" spans="1:23" ht="99.75" customHeight="1" x14ac:dyDescent="0.3">
      <c r="B13" s="31" t="s">
        <v>43</v>
      </c>
      <c r="C13" s="32" t="s">
        <v>742</v>
      </c>
      <c r="D13" s="32"/>
      <c r="E13" s="32"/>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6.25" customHeight="1" x14ac:dyDescent="0.25">
      <c r="B17" s="365" t="s">
        <v>89</v>
      </c>
      <c r="C17" s="365" t="s">
        <v>90</v>
      </c>
      <c r="D17" s="365" t="s">
        <v>91</v>
      </c>
      <c r="E17" s="365" t="s">
        <v>92</v>
      </c>
      <c r="F17" s="364" t="s">
        <v>93</v>
      </c>
      <c r="G17" s="364"/>
      <c r="H17" s="364"/>
      <c r="I17" s="364"/>
      <c r="J17" s="364"/>
      <c r="K17" s="364" t="s">
        <v>94</v>
      </c>
    </row>
    <row r="18" spans="1:11" ht="37.5" customHeight="1" x14ac:dyDescent="0.25">
      <c r="B18" s="365"/>
      <c r="C18" s="365"/>
      <c r="D18" s="365"/>
      <c r="E18" s="365"/>
      <c r="F18" s="27" t="s">
        <v>51</v>
      </c>
      <c r="G18" s="27" t="s">
        <v>52</v>
      </c>
      <c r="H18" s="27" t="s">
        <v>0</v>
      </c>
      <c r="I18" s="27" t="s">
        <v>1</v>
      </c>
      <c r="J18" s="27" t="s">
        <v>3</v>
      </c>
      <c r="K18" s="364"/>
    </row>
    <row r="19" spans="1:11" ht="40.5" x14ac:dyDescent="0.25">
      <c r="B19" s="45" t="s">
        <v>743</v>
      </c>
      <c r="C19" s="30" t="s">
        <v>111</v>
      </c>
      <c r="D19" s="30" t="s">
        <v>44</v>
      </c>
      <c r="E19" s="30"/>
      <c r="F19" s="37">
        <v>198133.1</v>
      </c>
      <c r="G19" s="37">
        <v>225353.3</v>
      </c>
      <c r="H19" s="37">
        <v>306027.8</v>
      </c>
      <c r="I19" s="37">
        <v>306027.8</v>
      </c>
      <c r="J19" s="37">
        <v>306027.8</v>
      </c>
      <c r="K19" s="38"/>
    </row>
    <row r="20" spans="1:11" ht="17.25" x14ac:dyDescent="0.25">
      <c r="B20" s="3"/>
      <c r="C20" s="3"/>
      <c r="D20" s="3"/>
      <c r="E20" s="3"/>
      <c r="F20" s="3"/>
      <c r="G20" s="3"/>
      <c r="H20" s="3"/>
      <c r="I20" s="3"/>
      <c r="J20" s="3"/>
    </row>
    <row r="21" spans="1:11" ht="15.75" x14ac:dyDescent="0.25">
      <c r="A21" s="12" t="s">
        <v>53</v>
      </c>
      <c r="C21" s="13"/>
      <c r="D21" s="13"/>
      <c r="E21" s="13"/>
      <c r="F21" s="13"/>
      <c r="G21" s="13"/>
      <c r="H21" s="35"/>
      <c r="I21" s="13"/>
      <c r="J21" s="13"/>
    </row>
    <row r="22" spans="1:11" x14ac:dyDescent="0.25">
      <c r="A22" s="14"/>
      <c r="C22" s="15"/>
      <c r="D22" s="15"/>
      <c r="E22" s="15"/>
      <c r="F22" s="15"/>
      <c r="G22" s="15"/>
      <c r="H22" s="15"/>
      <c r="I22" s="15"/>
      <c r="J22" s="15"/>
    </row>
    <row r="23" spans="1:11" x14ac:dyDescent="0.25">
      <c r="A23" s="16" t="s">
        <v>54</v>
      </c>
      <c r="C23" s="17"/>
      <c r="D23" s="17"/>
      <c r="E23" s="13"/>
      <c r="F23" s="13"/>
      <c r="G23" s="13"/>
      <c r="H23" s="13"/>
      <c r="I23" s="13"/>
      <c r="J23" s="13"/>
    </row>
    <row r="24" spans="1:11" x14ac:dyDescent="0.25">
      <c r="B24" s="17"/>
      <c r="C24" s="17"/>
      <c r="D24" s="17"/>
      <c r="E24" s="13"/>
      <c r="F24" s="13"/>
      <c r="G24" s="13"/>
      <c r="H24" s="13"/>
      <c r="I24" s="13"/>
      <c r="J24" s="13"/>
    </row>
    <row r="25" spans="1:11" x14ac:dyDescent="0.25">
      <c r="B25" s="17"/>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A28" s="16" t="s">
        <v>55</v>
      </c>
      <c r="E28" s="13"/>
      <c r="F28" s="13"/>
      <c r="G28" s="13"/>
      <c r="H28" s="13"/>
      <c r="I28" s="13"/>
      <c r="J28" s="13"/>
    </row>
    <row r="29" spans="1:11" ht="62.25" customHeight="1" x14ac:dyDescent="0.25">
      <c r="B29" s="360"/>
      <c r="C29" s="361"/>
      <c r="D29" s="361"/>
      <c r="E29" s="362"/>
      <c r="F29" s="13"/>
      <c r="G29" s="13"/>
      <c r="H29" s="13"/>
      <c r="I29" s="13"/>
      <c r="J29" s="13"/>
    </row>
    <row r="30" spans="1:11" ht="17.25" x14ac:dyDescent="0.25">
      <c r="B30" s="3"/>
      <c r="C30" s="3"/>
      <c r="D30" s="3"/>
      <c r="E30" s="13"/>
      <c r="F30" s="13"/>
      <c r="G30" s="13"/>
      <c r="H30" s="13"/>
      <c r="I30" s="13"/>
      <c r="J30" s="13"/>
    </row>
    <row r="31" spans="1:11" x14ac:dyDescent="0.25">
      <c r="A31" s="7" t="s">
        <v>56</v>
      </c>
    </row>
    <row r="32" spans="1:11" x14ac:dyDescent="0.25">
      <c r="F32" s="84"/>
    </row>
    <row r="33" spans="2:19" ht="43.5" customHeight="1" x14ac:dyDescent="0.25">
      <c r="B33" s="363" t="s">
        <v>95</v>
      </c>
      <c r="C33" s="4" t="s">
        <v>96</v>
      </c>
      <c r="D33" s="4" t="s">
        <v>97</v>
      </c>
      <c r="E33" s="358" t="s">
        <v>98</v>
      </c>
      <c r="F33" s="358"/>
      <c r="G33" s="358"/>
      <c r="H33" s="358" t="s">
        <v>99</v>
      </c>
      <c r="I33" s="358"/>
      <c r="J33" s="358"/>
      <c r="K33" s="358" t="s">
        <v>100</v>
      </c>
      <c r="L33" s="358"/>
      <c r="M33" s="358"/>
      <c r="N33" s="358" t="s">
        <v>101</v>
      </c>
      <c r="O33" s="358"/>
      <c r="P33" s="358"/>
      <c r="Q33" s="359" t="s">
        <v>102</v>
      </c>
      <c r="R33" s="359"/>
      <c r="S33" s="359"/>
    </row>
    <row r="34" spans="2:19" ht="30" customHeight="1" x14ac:dyDescent="0.25">
      <c r="B34" s="363"/>
      <c r="C34" s="4" t="s">
        <v>35</v>
      </c>
      <c r="D34" s="4" t="s">
        <v>36</v>
      </c>
      <c r="E34" s="19" t="s">
        <v>0</v>
      </c>
      <c r="F34" s="19" t="s">
        <v>1</v>
      </c>
      <c r="G34" s="19" t="s">
        <v>3</v>
      </c>
      <c r="H34" s="19" t="s">
        <v>0</v>
      </c>
      <c r="I34" s="19" t="s">
        <v>1</v>
      </c>
      <c r="J34" s="19" t="s">
        <v>3</v>
      </c>
      <c r="K34" s="19" t="s">
        <v>39</v>
      </c>
      <c r="L34" s="19" t="s">
        <v>38</v>
      </c>
      <c r="M34" s="19" t="s">
        <v>37</v>
      </c>
      <c r="N34" s="19" t="s">
        <v>39</v>
      </c>
      <c r="O34" s="19" t="s">
        <v>38</v>
      </c>
      <c r="P34" s="19" t="s">
        <v>37</v>
      </c>
      <c r="Q34" s="26" t="s">
        <v>0</v>
      </c>
      <c r="R34" s="26" t="s">
        <v>1</v>
      </c>
      <c r="S34" s="26" t="s">
        <v>3</v>
      </c>
    </row>
    <row r="35" spans="2:19" ht="27" customHeight="1" x14ac:dyDescent="0.25">
      <c r="B35" s="22" t="s">
        <v>744</v>
      </c>
      <c r="C35" s="39">
        <f>+'[3]2-ԸՆԴԱՄԵՆԸ ԾԱԽՍԵՐ'!$E$88</f>
        <v>50939.6</v>
      </c>
      <c r="D35" s="39">
        <v>19386.2</v>
      </c>
      <c r="E35" s="40">
        <f>+K35-C35</f>
        <v>-17472.599999999999</v>
      </c>
      <c r="F35" s="40">
        <f>+L35-C35</f>
        <v>51147.000000000007</v>
      </c>
      <c r="G35" s="40">
        <f>+M35-C35</f>
        <v>51147.000000000007</v>
      </c>
      <c r="H35" s="40"/>
      <c r="I35" s="40"/>
      <c r="J35" s="40"/>
      <c r="K35" s="41">
        <v>33467</v>
      </c>
      <c r="L35" s="41">
        <f>+'[3]2-ԸՆԴԱՄԵՆԸ ԾԱԽՍԵՐ'!$K$88</f>
        <v>102086.6</v>
      </c>
      <c r="M35" s="41">
        <f>+L35</f>
        <v>102086.6</v>
      </c>
      <c r="N35" s="40"/>
      <c r="O35" s="40"/>
      <c r="P35" s="40"/>
      <c r="Q35" s="43">
        <f t="shared" ref="Q35:S36" si="0">K35+N35</f>
        <v>33467</v>
      </c>
      <c r="R35" s="43">
        <f t="shared" si="0"/>
        <v>102086.6</v>
      </c>
      <c r="S35" s="43">
        <f t="shared" si="0"/>
        <v>102086.6</v>
      </c>
    </row>
    <row r="36" spans="2:19" ht="27" customHeight="1" x14ac:dyDescent="0.25">
      <c r="B36" s="22" t="s">
        <v>745</v>
      </c>
      <c r="C36" s="39">
        <f>+'[3]2-ԸՆԴԱՄԵՆԸ ԾԱԽՍԵՐ'!$E$89</f>
        <v>721.8</v>
      </c>
      <c r="D36" s="39">
        <v>2432.5</v>
      </c>
      <c r="E36" s="40">
        <f>+K36-C36</f>
        <v>1710.7</v>
      </c>
      <c r="F36" s="40">
        <f>+L36-C36</f>
        <v>1710.7</v>
      </c>
      <c r="G36" s="40">
        <f>+M36-C36</f>
        <v>1710.7</v>
      </c>
      <c r="H36" s="40"/>
      <c r="I36" s="40"/>
      <c r="J36" s="40"/>
      <c r="K36" s="41">
        <f>+'[3]2-ԸՆԴԱՄԵՆԸ ԾԱԽՍԵՐ'!$G$89</f>
        <v>2432.5</v>
      </c>
      <c r="L36" s="41">
        <f>+'[3]2-ԸՆԴԱՄԵՆԸ ԾԱԽՍԵՐ'!$K$89</f>
        <v>2432.5</v>
      </c>
      <c r="M36" s="41">
        <f>++L36</f>
        <v>2432.5</v>
      </c>
      <c r="N36" s="40"/>
      <c r="O36" s="40"/>
      <c r="P36" s="40"/>
      <c r="Q36" s="43">
        <f t="shared" si="0"/>
        <v>2432.5</v>
      </c>
      <c r="R36" s="43">
        <f t="shared" si="0"/>
        <v>2432.5</v>
      </c>
      <c r="S36" s="43">
        <f t="shared" si="0"/>
        <v>2432.5</v>
      </c>
    </row>
    <row r="37" spans="2:19" ht="28.5" x14ac:dyDescent="0.25">
      <c r="B37" s="18" t="s">
        <v>73</v>
      </c>
      <c r="C37" s="39">
        <f>+C35+C36</f>
        <v>51661.4</v>
      </c>
      <c r="D37" s="39">
        <f>+D35+D36</f>
        <v>21818.7</v>
      </c>
      <c r="E37" s="41">
        <f>SUM(E35:E36)</f>
        <v>-15761.899999999998</v>
      </c>
      <c r="F37" s="41">
        <f t="shared" ref="F37:G37" si="1">SUM(F35:F36)</f>
        <v>52857.700000000004</v>
      </c>
      <c r="G37" s="41">
        <f t="shared" si="1"/>
        <v>52857.700000000004</v>
      </c>
      <c r="H37" s="41">
        <f>SUM(H35:H35)</f>
        <v>0</v>
      </c>
      <c r="I37" s="41">
        <f>SUM(I35:I35)</f>
        <v>0</v>
      </c>
      <c r="J37" s="41">
        <f>SUM(J35:J35)</f>
        <v>0</v>
      </c>
      <c r="K37" s="41">
        <f>SUM(K35:K36)</f>
        <v>35899.5</v>
      </c>
      <c r="L37" s="41">
        <f t="shared" ref="L37:M37" si="2">SUM(L35:L36)</f>
        <v>104519.1</v>
      </c>
      <c r="M37" s="41">
        <f t="shared" si="2"/>
        <v>104519.1</v>
      </c>
      <c r="N37" s="42" t="s">
        <v>2</v>
      </c>
      <c r="O37" s="42" t="s">
        <v>2</v>
      </c>
      <c r="P37" s="42" t="s">
        <v>2</v>
      </c>
      <c r="Q37" s="43" t="s">
        <v>2</v>
      </c>
      <c r="R37" s="43" t="s">
        <v>2</v>
      </c>
      <c r="S37" s="43" t="s">
        <v>2</v>
      </c>
    </row>
    <row r="38" spans="2:19" ht="28.5" x14ac:dyDescent="0.25">
      <c r="B38" s="18" t="s">
        <v>60</v>
      </c>
      <c r="C38" s="39"/>
      <c r="D38" s="39"/>
      <c r="E38" s="41" t="s">
        <v>72</v>
      </c>
      <c r="F38" s="41" t="s">
        <v>72</v>
      </c>
      <c r="G38" s="41" t="s">
        <v>72</v>
      </c>
      <c r="H38" s="41" t="s">
        <v>72</v>
      </c>
      <c r="I38" s="41" t="s">
        <v>72</v>
      </c>
      <c r="J38" s="41" t="s">
        <v>72</v>
      </c>
      <c r="K38" s="41"/>
      <c r="L38" s="41"/>
      <c r="M38" s="41"/>
      <c r="N38" s="42" t="s">
        <v>2</v>
      </c>
      <c r="O38" s="42" t="s">
        <v>2</v>
      </c>
      <c r="P38" s="42" t="s">
        <v>2</v>
      </c>
      <c r="Q38" s="43" t="s">
        <v>2</v>
      </c>
      <c r="R38" s="43" t="s">
        <v>2</v>
      </c>
      <c r="S38" s="43" t="s">
        <v>2</v>
      </c>
    </row>
    <row r="39" spans="2:19" s="199" customFormat="1" x14ac:dyDescent="0.25">
      <c r="B39" s="246" t="s">
        <v>698</v>
      </c>
      <c r="C39" s="247">
        <f>+C37</f>
        <v>51661.4</v>
      </c>
      <c r="D39" s="247">
        <f>+D37</f>
        <v>21818.7</v>
      </c>
      <c r="E39" s="247">
        <f>E37</f>
        <v>-15761.899999999998</v>
      </c>
      <c r="F39" s="247">
        <f t="shared" ref="F39:J39" si="3">F37</f>
        <v>52857.700000000004</v>
      </c>
      <c r="G39" s="247">
        <f t="shared" si="3"/>
        <v>52857.700000000004</v>
      </c>
      <c r="H39" s="247">
        <f t="shared" si="3"/>
        <v>0</v>
      </c>
      <c r="I39" s="247">
        <f t="shared" si="3"/>
        <v>0</v>
      </c>
      <c r="J39" s="247">
        <f t="shared" si="3"/>
        <v>0</v>
      </c>
      <c r="K39" s="248">
        <f>K37+K38</f>
        <v>35899.5</v>
      </c>
      <c r="L39" s="248">
        <f t="shared" ref="L39:M39" si="4">L37+L38</f>
        <v>104519.1</v>
      </c>
      <c r="M39" s="248">
        <f t="shared" si="4"/>
        <v>104519.1</v>
      </c>
      <c r="N39" s="248">
        <f>SUM(N35:N35)</f>
        <v>0</v>
      </c>
      <c r="O39" s="248">
        <f>SUM(O35:O35)</f>
        <v>0</v>
      </c>
      <c r="P39" s="248">
        <f>SUM(P35:P35)</f>
        <v>0</v>
      </c>
      <c r="Q39" s="249">
        <f>K39+N39</f>
        <v>35899.5</v>
      </c>
      <c r="R39" s="249">
        <f>L39+O39</f>
        <v>104519.1</v>
      </c>
      <c r="S39" s="249">
        <f>M39+P39</f>
        <v>104519.1</v>
      </c>
    </row>
    <row r="40" spans="2:19" x14ac:dyDescent="0.25">
      <c r="D40" s="86"/>
      <c r="K40" s="84"/>
    </row>
    <row r="41" spans="2:19" x14ac:dyDescent="0.25">
      <c r="C41" s="84"/>
    </row>
    <row r="42" spans="2:19" x14ac:dyDescent="0.25">
      <c r="D42" s="84"/>
      <c r="E42" s="84"/>
    </row>
    <row r="45" spans="2:19" x14ac:dyDescent="0.25">
      <c r="K45" s="36"/>
    </row>
  </sheetData>
  <mergeCells count="13">
    <mergeCell ref="K17:K18"/>
    <mergeCell ref="B17:B18"/>
    <mergeCell ref="C17:C18"/>
    <mergeCell ref="D17:D18"/>
    <mergeCell ref="E17:E18"/>
    <mergeCell ref="F17:J17"/>
    <mergeCell ref="Q33:S33"/>
    <mergeCell ref="B29:E29"/>
    <mergeCell ref="B33:B34"/>
    <mergeCell ref="E33:G33"/>
    <mergeCell ref="H33:J33"/>
    <mergeCell ref="K33:M33"/>
    <mergeCell ref="N33:P33"/>
  </mergeCells>
  <dataValidations count="4">
    <dataValidation type="custom" allowBlank="1" showInputMessage="1" showErrorMessage="1" sqref="N35:P36" xr:uid="{207FC229-BB0C-4AC0-A229-DDE5E9B98A92}">
      <formula1>"-"</formula1>
    </dataValidation>
    <dataValidation type="list" allowBlank="1" showInputMessage="1" showErrorMessage="1" sqref="D19" xr:uid="{E015B785-C675-4804-9C85-FD96ECA9AC36}">
      <formula1>$V$2:$V$3</formula1>
    </dataValidation>
    <dataValidation showInputMessage="1" showErrorMessage="1" sqref="E19" xr:uid="{F77FE350-7A56-4A59-B3CB-A42FB7057898}"/>
    <dataValidation type="list" allowBlank="1" showInputMessage="1" showErrorMessage="1" sqref="B13" xr:uid="{81827D24-77DB-4497-9B0B-B291BF376584}">
      <formula1>$U$2:$U$4</formula1>
    </dataValidation>
  </dataValidations>
  <hyperlinks>
    <hyperlink ref="C12" location="_ftn1" display="_ftn1" xr:uid="{CFFA986A-1DC3-454E-B485-734AA877CDB4}"/>
    <hyperlink ref="D12" location="_ftn2" display="_ftn2" xr:uid="{55348E21-FD16-4990-94EB-6AB01FFD6DB9}"/>
    <hyperlink ref="E12" location="_ftn3" display="_ftn3" xr:uid="{2631EFB9-C886-4445-BFDE-45A0819FE2DC}"/>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30401" r:id="rId3" name="Check Box 1">
              <controlPr defaultSize="0" autoFill="0" autoLine="0" autoPict="0">
                <anchor moveWithCells="1">
                  <from>
                    <xdr:col>1</xdr:col>
                    <xdr:colOff>85725</xdr:colOff>
                    <xdr:row>25</xdr:row>
                    <xdr:rowOff>0</xdr:rowOff>
                  </from>
                  <to>
                    <xdr:col>2</xdr:col>
                    <xdr:colOff>1085850</xdr:colOff>
                    <xdr:row>26</xdr:row>
                    <xdr:rowOff>38100</xdr:rowOff>
                  </to>
                </anchor>
              </controlPr>
            </control>
          </mc:Choice>
        </mc:AlternateContent>
        <mc:AlternateContent xmlns:mc="http://schemas.openxmlformats.org/markup-compatibility/2006">
          <mc:Choice Requires="x14">
            <control shapeId="230402" r:id="rId4" name="Check Box 2">
              <controlPr defaultSize="0" autoFill="0" autoLine="0" autoPict="0">
                <anchor moveWithCells="1">
                  <from>
                    <xdr:col>1</xdr:col>
                    <xdr:colOff>85725</xdr:colOff>
                    <xdr:row>22</xdr:row>
                    <xdr:rowOff>171450</xdr:rowOff>
                  </from>
                  <to>
                    <xdr:col>3</xdr:col>
                    <xdr:colOff>285750</xdr:colOff>
                    <xdr:row>24</xdr:row>
                    <xdr:rowOff>47625</xdr:rowOff>
                  </to>
                </anchor>
              </controlPr>
            </control>
          </mc:Choice>
        </mc:AlternateContent>
        <mc:AlternateContent xmlns:mc="http://schemas.openxmlformats.org/markup-compatibility/2006">
          <mc:Choice Requires="x14">
            <control shapeId="230403" r:id="rId5" name="Check Box 3">
              <controlPr defaultSize="0" autoFill="0" autoLine="0" autoPict="0">
                <anchor moveWithCells="1">
                  <from>
                    <xdr:col>1</xdr:col>
                    <xdr:colOff>85725</xdr:colOff>
                    <xdr:row>24</xdr:row>
                    <xdr:rowOff>28575</xdr:rowOff>
                  </from>
                  <to>
                    <xdr:col>3</xdr:col>
                    <xdr:colOff>285750</xdr:colOff>
                    <xdr:row>25</xdr:row>
                    <xdr:rowOff>9525</xdr:rowOff>
                  </to>
                </anchor>
              </controlPr>
            </control>
          </mc:Choice>
        </mc:AlternateContent>
        <mc:AlternateContent xmlns:mc="http://schemas.openxmlformats.org/markup-compatibility/2006">
          <mc:Choice Requires="x14">
            <control shapeId="230404" r:id="rId6" name="Check Box 4">
              <controlPr defaultSize="0" autoFill="0" autoLine="0" autoPict="0">
                <anchor moveWithCells="1">
                  <from>
                    <xdr:col>1</xdr:col>
                    <xdr:colOff>95250</xdr:colOff>
                    <xdr:row>26</xdr:row>
                    <xdr:rowOff>9525</xdr:rowOff>
                  </from>
                  <to>
                    <xdr:col>2</xdr:col>
                    <xdr:colOff>485775</xdr:colOff>
                    <xdr:row>27</xdr:row>
                    <xdr:rowOff>9525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324B4-0CE7-4CCE-8EE7-643C72DBCDAC}">
  <dimension ref="A1:W45"/>
  <sheetViews>
    <sheetView workbookViewId="0">
      <selection sqref="A1:XFD1048576"/>
    </sheetView>
  </sheetViews>
  <sheetFormatPr defaultRowHeight="15" x14ac:dyDescent="0.25"/>
  <cols>
    <col min="1" max="1" width="6" customWidth="1"/>
    <col min="2" max="2" width="34.42578125" customWidth="1"/>
    <col min="3" max="3" width="23.42578125" customWidth="1"/>
    <col min="4" max="4" width="19.140625" customWidth="1"/>
    <col min="5" max="5" width="17.140625" customWidth="1"/>
    <col min="6" max="6" width="15.85546875" customWidth="1"/>
    <col min="7" max="7" width="14.28515625" customWidth="1"/>
    <col min="8" max="8" width="13" hidden="1" customWidth="1"/>
    <col min="9" max="9" width="10.42578125" hidden="1" customWidth="1"/>
    <col min="10" max="10" width="14" hidden="1" customWidth="1"/>
    <col min="11" max="11" width="43.7109375" customWidth="1"/>
    <col min="12" max="12" width="11.7109375" customWidth="1"/>
    <col min="13" max="13" width="13.140625" customWidth="1"/>
    <col min="14" max="14" width="9.5703125" customWidth="1"/>
    <col min="15" max="15" width="8.140625" customWidth="1"/>
    <col min="16" max="16" width="8" customWidth="1"/>
    <col min="17" max="17" width="14.28515625" customWidth="1"/>
    <col min="18" max="19" width="11"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42" customHeight="1" x14ac:dyDescent="0.25">
      <c r="B5" s="25" t="s">
        <v>79</v>
      </c>
      <c r="C5" s="20">
        <v>1058</v>
      </c>
      <c r="E5" s="25" t="s">
        <v>83</v>
      </c>
      <c r="F5" s="20"/>
      <c r="H5" s="3"/>
      <c r="I5" s="3"/>
      <c r="J5" s="3"/>
    </row>
    <row r="6" spans="1:23" ht="53.25" customHeight="1" x14ac:dyDescent="0.25">
      <c r="B6" s="25" t="s">
        <v>80</v>
      </c>
      <c r="C6" s="29" t="s">
        <v>731</v>
      </c>
      <c r="E6" s="25" t="s">
        <v>84</v>
      </c>
      <c r="F6" s="20" t="s">
        <v>132</v>
      </c>
      <c r="H6" s="3"/>
      <c r="I6" s="3"/>
      <c r="J6" s="3"/>
    </row>
    <row r="7" spans="1:23" ht="18" customHeight="1" x14ac:dyDescent="0.25">
      <c r="B7" s="25" t="s">
        <v>81</v>
      </c>
      <c r="C7" s="20">
        <v>31002</v>
      </c>
      <c r="H7" s="3"/>
      <c r="I7" s="3"/>
      <c r="J7" s="3"/>
    </row>
    <row r="8" spans="1:23" ht="66" customHeight="1" x14ac:dyDescent="0.25">
      <c r="B8" s="25" t="s">
        <v>82</v>
      </c>
      <c r="C8" s="29" t="s">
        <v>746</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83.25" customHeight="1" x14ac:dyDescent="0.25">
      <c r="B12" s="10" t="s">
        <v>85</v>
      </c>
      <c r="C12" s="28" t="s">
        <v>86</v>
      </c>
      <c r="D12" s="28" t="s">
        <v>87</v>
      </c>
      <c r="E12" s="28" t="s">
        <v>88</v>
      </c>
      <c r="F12" s="3"/>
      <c r="G12" s="3"/>
      <c r="H12" s="3"/>
      <c r="I12" s="3"/>
      <c r="J12" s="3"/>
    </row>
    <row r="13" spans="1:23" ht="99.75" customHeight="1" x14ac:dyDescent="0.3">
      <c r="B13" s="31" t="s">
        <v>43</v>
      </c>
      <c r="C13" s="32" t="s">
        <v>746</v>
      </c>
      <c r="D13" s="32"/>
      <c r="E13" s="32"/>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6.25" customHeight="1" x14ac:dyDescent="0.25">
      <c r="B17" s="365" t="s">
        <v>89</v>
      </c>
      <c r="C17" s="365" t="s">
        <v>90</v>
      </c>
      <c r="D17" s="365" t="s">
        <v>91</v>
      </c>
      <c r="E17" s="365" t="s">
        <v>92</v>
      </c>
      <c r="F17" s="364" t="s">
        <v>93</v>
      </c>
      <c r="G17" s="364"/>
      <c r="H17" s="364"/>
      <c r="I17" s="364"/>
      <c r="J17" s="364"/>
      <c r="K17" s="364" t="s">
        <v>94</v>
      </c>
    </row>
    <row r="18" spans="1:11" ht="37.5" customHeight="1" x14ac:dyDescent="0.25">
      <c r="B18" s="365"/>
      <c r="C18" s="365"/>
      <c r="D18" s="365"/>
      <c r="E18" s="365"/>
      <c r="F18" s="27" t="s">
        <v>51</v>
      </c>
      <c r="G18" s="27" t="s">
        <v>52</v>
      </c>
      <c r="H18" s="27" t="s">
        <v>0</v>
      </c>
      <c r="I18" s="27" t="s">
        <v>1</v>
      </c>
      <c r="J18" s="27" t="s">
        <v>3</v>
      </c>
      <c r="K18" s="364"/>
    </row>
    <row r="19" spans="1:11" ht="69" customHeight="1" x14ac:dyDescent="0.25">
      <c r="B19" s="32" t="s">
        <v>746</v>
      </c>
      <c r="C19" s="30" t="s">
        <v>111</v>
      </c>
      <c r="D19" s="30" t="s">
        <v>44</v>
      </c>
      <c r="E19" s="30"/>
      <c r="F19" s="37">
        <v>198133.1</v>
      </c>
      <c r="G19" s="37">
        <v>225353.3</v>
      </c>
      <c r="H19" s="37">
        <v>306027.8</v>
      </c>
      <c r="I19" s="37">
        <v>306027.8</v>
      </c>
      <c r="J19" s="37">
        <v>306027.8</v>
      </c>
      <c r="K19" s="38" t="s">
        <v>747</v>
      </c>
    </row>
    <row r="20" spans="1:11" ht="17.25" x14ac:dyDescent="0.25">
      <c r="B20" s="3"/>
      <c r="C20" s="3"/>
      <c r="D20" s="3"/>
      <c r="E20" s="3"/>
      <c r="F20" s="3"/>
      <c r="G20" s="3"/>
      <c r="H20" s="3"/>
      <c r="I20" s="3"/>
      <c r="J20" s="3"/>
    </row>
    <row r="21" spans="1:11" ht="15.75" x14ac:dyDescent="0.25">
      <c r="A21" s="12" t="s">
        <v>53</v>
      </c>
      <c r="C21" s="13"/>
      <c r="D21" s="13"/>
      <c r="E21" s="13"/>
      <c r="F21" s="13"/>
      <c r="G21" s="13"/>
      <c r="H21" s="35"/>
      <c r="I21" s="13"/>
      <c r="J21" s="13"/>
    </row>
    <row r="22" spans="1:11" x14ac:dyDescent="0.25">
      <c r="A22" s="14"/>
      <c r="C22" s="15"/>
      <c r="D22" s="15"/>
      <c r="E22" s="15"/>
      <c r="F22" s="15"/>
      <c r="G22" s="15"/>
      <c r="H22" s="15"/>
      <c r="I22" s="15"/>
      <c r="J22" s="15"/>
    </row>
    <row r="23" spans="1:11" x14ac:dyDescent="0.25">
      <c r="A23" s="16" t="s">
        <v>54</v>
      </c>
      <c r="C23" s="17"/>
      <c r="D23" s="17"/>
      <c r="E23" s="13"/>
      <c r="F23" s="13"/>
      <c r="G23" s="13"/>
      <c r="H23" s="13"/>
      <c r="I23" s="13"/>
      <c r="J23" s="13"/>
    </row>
    <row r="24" spans="1:11" x14ac:dyDescent="0.25">
      <c r="B24" s="17"/>
      <c r="C24" s="17"/>
      <c r="D24" s="17"/>
      <c r="E24" s="13"/>
      <c r="F24" s="13"/>
      <c r="G24" s="13"/>
      <c r="H24" s="13"/>
      <c r="I24" s="13"/>
      <c r="J24" s="13"/>
    </row>
    <row r="25" spans="1:11" x14ac:dyDescent="0.25">
      <c r="B25" s="17"/>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A28" s="16" t="s">
        <v>55</v>
      </c>
      <c r="E28" s="13"/>
      <c r="F28" s="13"/>
      <c r="G28" s="13"/>
      <c r="H28" s="13"/>
      <c r="I28" s="13"/>
      <c r="J28" s="13"/>
    </row>
    <row r="29" spans="1:11" x14ac:dyDescent="0.25">
      <c r="B29" s="360" t="s">
        <v>748</v>
      </c>
      <c r="C29" s="361"/>
      <c r="D29" s="361"/>
      <c r="E29" s="362"/>
      <c r="F29" s="13"/>
      <c r="G29" s="13"/>
      <c r="H29" s="13"/>
      <c r="I29" s="13"/>
      <c r="J29" s="13"/>
    </row>
    <row r="30" spans="1:11" ht="17.25" x14ac:dyDescent="0.25">
      <c r="B30" s="3"/>
      <c r="C30" s="3"/>
      <c r="D30" s="3"/>
      <c r="E30" s="13"/>
      <c r="F30" s="13"/>
      <c r="G30" s="13"/>
      <c r="H30" s="13"/>
      <c r="I30" s="13"/>
      <c r="J30" s="13"/>
    </row>
    <row r="31" spans="1:11" x14ac:dyDescent="0.25">
      <c r="A31" s="7" t="s">
        <v>56</v>
      </c>
    </row>
    <row r="32" spans="1:11" x14ac:dyDescent="0.25">
      <c r="F32" s="84"/>
    </row>
    <row r="33" spans="2:19" ht="43.5" customHeight="1" x14ac:dyDescent="0.25">
      <c r="B33" s="363" t="s">
        <v>95</v>
      </c>
      <c r="C33" s="4" t="s">
        <v>96</v>
      </c>
      <c r="D33" s="4" t="s">
        <v>97</v>
      </c>
      <c r="E33" s="358" t="s">
        <v>98</v>
      </c>
      <c r="F33" s="358"/>
      <c r="G33" s="358"/>
      <c r="H33" s="358" t="s">
        <v>99</v>
      </c>
      <c r="I33" s="358"/>
      <c r="J33" s="358"/>
      <c r="K33" s="358" t="s">
        <v>100</v>
      </c>
      <c r="L33" s="358"/>
      <c r="M33" s="358"/>
      <c r="N33" s="358" t="s">
        <v>101</v>
      </c>
      <c r="O33" s="358"/>
      <c r="P33" s="358"/>
      <c r="Q33" s="359" t="s">
        <v>102</v>
      </c>
      <c r="R33" s="359"/>
      <c r="S33" s="359"/>
    </row>
    <row r="34" spans="2:19" ht="30" customHeight="1" x14ac:dyDescent="0.25">
      <c r="B34" s="363"/>
      <c r="C34" s="4" t="s">
        <v>35</v>
      </c>
      <c r="D34" s="4" t="s">
        <v>36</v>
      </c>
      <c r="E34" s="19" t="s">
        <v>0</v>
      </c>
      <c r="F34" s="19" t="s">
        <v>1</v>
      </c>
      <c r="G34" s="19" t="s">
        <v>3</v>
      </c>
      <c r="H34" s="19" t="s">
        <v>0</v>
      </c>
      <c r="I34" s="19" t="s">
        <v>1</v>
      </c>
      <c r="J34" s="19" t="s">
        <v>3</v>
      </c>
      <c r="K34" s="19" t="s">
        <v>39</v>
      </c>
      <c r="L34" s="19" t="s">
        <v>38</v>
      </c>
      <c r="M34" s="19" t="s">
        <v>37</v>
      </c>
      <c r="N34" s="19" t="s">
        <v>39</v>
      </c>
      <c r="O34" s="19" t="s">
        <v>38</v>
      </c>
      <c r="P34" s="19" t="s">
        <v>37</v>
      </c>
      <c r="Q34" s="26" t="s">
        <v>0</v>
      </c>
      <c r="R34" s="26" t="s">
        <v>1</v>
      </c>
      <c r="S34" s="26" t="s">
        <v>3</v>
      </c>
    </row>
    <row r="35" spans="2:19" ht="27" customHeight="1" x14ac:dyDescent="0.25">
      <c r="B35" s="22" t="s">
        <v>749</v>
      </c>
      <c r="C35" s="39"/>
      <c r="D35" s="39" t="e">
        <f>+#REF!+#REF!</f>
        <v>#REF!</v>
      </c>
      <c r="E35" s="40">
        <f>+K35-C35</f>
        <v>2334000</v>
      </c>
      <c r="F35" s="40">
        <f>+L35-C35</f>
        <v>0</v>
      </c>
      <c r="G35" s="40">
        <f>+M35-C35</f>
        <v>0</v>
      </c>
      <c r="H35" s="40"/>
      <c r="I35" s="40"/>
      <c r="J35" s="40"/>
      <c r="K35" s="41">
        <f>+'[3]2-ԸՆԴԱՄԵՆԸ ԾԱԽՍԵՐ'!$G$92</f>
        <v>2334000</v>
      </c>
      <c r="L35" s="41"/>
      <c r="M35" s="41"/>
      <c r="N35" s="40"/>
      <c r="O35" s="40"/>
      <c r="P35" s="40"/>
      <c r="Q35" s="43">
        <f t="shared" ref="Q35:S36" si="0">K35+N35</f>
        <v>2334000</v>
      </c>
      <c r="R35" s="43">
        <f t="shared" si="0"/>
        <v>0</v>
      </c>
      <c r="S35" s="43">
        <f t="shared" si="0"/>
        <v>0</v>
      </c>
    </row>
    <row r="36" spans="2:19" ht="27" customHeight="1" x14ac:dyDescent="0.25">
      <c r="B36" s="22" t="s">
        <v>750</v>
      </c>
      <c r="C36" s="39"/>
      <c r="D36" s="39" t="e">
        <f>+#REF!</f>
        <v>#REF!</v>
      </c>
      <c r="E36" s="40">
        <f>+K36-C36</f>
        <v>0</v>
      </c>
      <c r="F36" s="40">
        <f>+L36-C36</f>
        <v>0</v>
      </c>
      <c r="G36" s="40">
        <f>+M36-C36</f>
        <v>0</v>
      </c>
      <c r="H36" s="40"/>
      <c r="I36" s="40"/>
      <c r="J36" s="40"/>
      <c r="K36" s="41">
        <f>+'[3]2-ԸՆԴԱՄԵՆԸ ԾԱԽՍԵՐ'!$G$93</f>
        <v>0</v>
      </c>
      <c r="L36" s="41"/>
      <c r="M36" s="41"/>
      <c r="N36" s="40"/>
      <c r="O36" s="40"/>
      <c r="P36" s="40"/>
      <c r="Q36" s="43">
        <f t="shared" si="0"/>
        <v>0</v>
      </c>
      <c r="R36" s="43">
        <f t="shared" si="0"/>
        <v>0</v>
      </c>
      <c r="S36" s="43">
        <f t="shared" si="0"/>
        <v>0</v>
      </c>
    </row>
    <row r="37" spans="2:19" ht="28.5" x14ac:dyDescent="0.25">
      <c r="B37" s="18" t="s">
        <v>73</v>
      </c>
      <c r="C37" s="39">
        <f>+C36+C35</f>
        <v>0</v>
      </c>
      <c r="D37" s="39" t="e">
        <f>+D36+D35</f>
        <v>#REF!</v>
      </c>
      <c r="E37" s="41">
        <f>SUM(E35:E36)</f>
        <v>2334000</v>
      </c>
      <c r="F37" s="41">
        <f>SUM(F35:F36)</f>
        <v>0</v>
      </c>
      <c r="G37" s="41">
        <f>SUM(G35:G36)</f>
        <v>0</v>
      </c>
      <c r="H37" s="41">
        <f>SUM(H35:H35)</f>
        <v>0</v>
      </c>
      <c r="I37" s="41">
        <f>SUM(I35:I35)</f>
        <v>0</v>
      </c>
      <c r="J37" s="41">
        <f>SUM(J35:J35)</f>
        <v>0</v>
      </c>
      <c r="K37" s="41">
        <f>SUM(K35:K36)</f>
        <v>2334000</v>
      </c>
      <c r="L37" s="41">
        <f>SUM(L35:L36)</f>
        <v>0</v>
      </c>
      <c r="M37" s="41">
        <f>SUM(M35:M36)</f>
        <v>0</v>
      </c>
      <c r="N37" s="42" t="s">
        <v>2</v>
      </c>
      <c r="O37" s="42" t="s">
        <v>2</v>
      </c>
      <c r="P37" s="42" t="s">
        <v>2</v>
      </c>
      <c r="Q37" s="43" t="s">
        <v>2</v>
      </c>
      <c r="R37" s="43" t="s">
        <v>2</v>
      </c>
      <c r="S37" s="43" t="s">
        <v>2</v>
      </c>
    </row>
    <row r="38" spans="2:19" ht="28.5" x14ac:dyDescent="0.25">
      <c r="B38" s="18" t="s">
        <v>60</v>
      </c>
      <c r="C38" s="39"/>
      <c r="D38" s="39"/>
      <c r="E38" s="41" t="s">
        <v>72</v>
      </c>
      <c r="F38" s="41" t="s">
        <v>72</v>
      </c>
      <c r="G38" s="41" t="s">
        <v>72</v>
      </c>
      <c r="H38" s="41" t="s">
        <v>72</v>
      </c>
      <c r="I38" s="41" t="s">
        <v>72</v>
      </c>
      <c r="J38" s="41" t="s">
        <v>72</v>
      </c>
      <c r="K38" s="41"/>
      <c r="L38" s="41"/>
      <c r="M38" s="41"/>
      <c r="N38" s="42" t="s">
        <v>2</v>
      </c>
      <c r="O38" s="42" t="s">
        <v>2</v>
      </c>
      <c r="P38" s="42" t="s">
        <v>2</v>
      </c>
      <c r="Q38" s="43" t="s">
        <v>2</v>
      </c>
      <c r="R38" s="43" t="s">
        <v>2</v>
      </c>
      <c r="S38" s="43" t="s">
        <v>2</v>
      </c>
    </row>
    <row r="39" spans="2:19" s="199" customFormat="1" x14ac:dyDescent="0.25">
      <c r="B39" s="246" t="s">
        <v>698</v>
      </c>
      <c r="C39" s="247">
        <f>+C37</f>
        <v>0</v>
      </c>
      <c r="D39" s="247" t="e">
        <f>+D37</f>
        <v>#REF!</v>
      </c>
      <c r="E39" s="247">
        <f>E37</f>
        <v>2334000</v>
      </c>
      <c r="F39" s="247">
        <f t="shared" ref="F39:J39" si="1">F37</f>
        <v>0</v>
      </c>
      <c r="G39" s="247">
        <f t="shared" si="1"/>
        <v>0</v>
      </c>
      <c r="H39" s="247">
        <f t="shared" si="1"/>
        <v>0</v>
      </c>
      <c r="I39" s="247">
        <f t="shared" si="1"/>
        <v>0</v>
      </c>
      <c r="J39" s="247">
        <f t="shared" si="1"/>
        <v>0</v>
      </c>
      <c r="K39" s="248">
        <f>K37+K38</f>
        <v>2334000</v>
      </c>
      <c r="L39" s="248">
        <f t="shared" ref="L39:M39" si="2">L37+L38</f>
        <v>0</v>
      </c>
      <c r="M39" s="248">
        <f t="shared" si="2"/>
        <v>0</v>
      </c>
      <c r="N39" s="248">
        <f>SUM(N35:N35)</f>
        <v>0</v>
      </c>
      <c r="O39" s="248">
        <f>SUM(O35:O35)</f>
        <v>0</v>
      </c>
      <c r="P39" s="248">
        <f>SUM(P35:P35)</f>
        <v>0</v>
      </c>
      <c r="Q39" s="249">
        <f>K39+N39</f>
        <v>2334000</v>
      </c>
      <c r="R39" s="249">
        <f>L39+O39</f>
        <v>0</v>
      </c>
      <c r="S39" s="249">
        <f>M39+P39</f>
        <v>0</v>
      </c>
    </row>
    <row r="40" spans="2:19" x14ac:dyDescent="0.25">
      <c r="D40" s="86"/>
      <c r="K40" s="84"/>
    </row>
    <row r="41" spans="2:19" x14ac:dyDescent="0.25">
      <c r="C41" s="84"/>
    </row>
    <row r="42" spans="2:19" x14ac:dyDescent="0.25">
      <c r="D42" s="84"/>
      <c r="E42" s="84"/>
    </row>
    <row r="45" spans="2:19" x14ac:dyDescent="0.25">
      <c r="K45" s="36"/>
    </row>
  </sheetData>
  <mergeCells count="13">
    <mergeCell ref="K17:K18"/>
    <mergeCell ref="B17:B18"/>
    <mergeCell ref="C17:C18"/>
    <mergeCell ref="D17:D18"/>
    <mergeCell ref="E17:E18"/>
    <mergeCell ref="F17:J17"/>
    <mergeCell ref="Q33:S33"/>
    <mergeCell ref="B29:E29"/>
    <mergeCell ref="B33:B34"/>
    <mergeCell ref="E33:G33"/>
    <mergeCell ref="H33:J33"/>
    <mergeCell ref="K33:M33"/>
    <mergeCell ref="N33:P33"/>
  </mergeCells>
  <dataValidations count="4">
    <dataValidation type="custom" allowBlank="1" showInputMessage="1" showErrorMessage="1" sqref="N35:P36" xr:uid="{8B4E6DD6-D611-44FA-94C8-36876E6832A0}">
      <formula1>"-"</formula1>
    </dataValidation>
    <dataValidation type="list" allowBlank="1" showInputMessage="1" showErrorMessage="1" sqref="D19" xr:uid="{ACCB08A0-E145-4C3D-8AA8-2BDABFA6754E}">
      <formula1>$V$2:$V$3</formula1>
    </dataValidation>
    <dataValidation showInputMessage="1" showErrorMessage="1" sqref="E19" xr:uid="{C395CDD8-8DA6-4FD0-89CA-064AF2E0465A}"/>
    <dataValidation type="list" allowBlank="1" showInputMessage="1" showErrorMessage="1" sqref="B13" xr:uid="{4F4B0C3C-A5EF-44ED-8DB2-FDB10F315595}">
      <formula1>$U$2:$U$4</formula1>
    </dataValidation>
  </dataValidations>
  <hyperlinks>
    <hyperlink ref="C12" location="_ftn1" display="_ftn1" xr:uid="{A86B060F-C27D-4A88-9B84-F0E74A6463A0}"/>
    <hyperlink ref="D12" location="_ftn2" display="_ftn2" xr:uid="{D9E9EDD9-6677-47C5-8282-C03ADDD6DC28}"/>
    <hyperlink ref="E12" location="_ftn3" display="_ftn3" xr:uid="{1AA8BB4A-2937-4C32-8F42-8861806135CF}"/>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34497" r:id="rId3" name="Check Box 1">
              <controlPr defaultSize="0" autoFill="0" autoLine="0" autoPict="0">
                <anchor moveWithCells="1">
                  <from>
                    <xdr:col>1</xdr:col>
                    <xdr:colOff>85725</xdr:colOff>
                    <xdr:row>25</xdr:row>
                    <xdr:rowOff>0</xdr:rowOff>
                  </from>
                  <to>
                    <xdr:col>2</xdr:col>
                    <xdr:colOff>1085850</xdr:colOff>
                    <xdr:row>26</xdr:row>
                    <xdr:rowOff>38100</xdr:rowOff>
                  </to>
                </anchor>
              </controlPr>
            </control>
          </mc:Choice>
        </mc:AlternateContent>
        <mc:AlternateContent xmlns:mc="http://schemas.openxmlformats.org/markup-compatibility/2006">
          <mc:Choice Requires="x14">
            <control shapeId="234498" r:id="rId4" name="Check Box 2">
              <controlPr defaultSize="0" autoFill="0" autoLine="0" autoPict="0">
                <anchor moveWithCells="1">
                  <from>
                    <xdr:col>1</xdr:col>
                    <xdr:colOff>85725</xdr:colOff>
                    <xdr:row>22</xdr:row>
                    <xdr:rowOff>171450</xdr:rowOff>
                  </from>
                  <to>
                    <xdr:col>3</xdr:col>
                    <xdr:colOff>285750</xdr:colOff>
                    <xdr:row>24</xdr:row>
                    <xdr:rowOff>47625</xdr:rowOff>
                  </to>
                </anchor>
              </controlPr>
            </control>
          </mc:Choice>
        </mc:AlternateContent>
        <mc:AlternateContent xmlns:mc="http://schemas.openxmlformats.org/markup-compatibility/2006">
          <mc:Choice Requires="x14">
            <control shapeId="234499" r:id="rId5" name="Check Box 3">
              <controlPr defaultSize="0" autoFill="0" autoLine="0" autoPict="0">
                <anchor moveWithCells="1">
                  <from>
                    <xdr:col>1</xdr:col>
                    <xdr:colOff>85725</xdr:colOff>
                    <xdr:row>24</xdr:row>
                    <xdr:rowOff>28575</xdr:rowOff>
                  </from>
                  <to>
                    <xdr:col>3</xdr:col>
                    <xdr:colOff>285750</xdr:colOff>
                    <xdr:row>25</xdr:row>
                    <xdr:rowOff>9525</xdr:rowOff>
                  </to>
                </anchor>
              </controlPr>
            </control>
          </mc:Choice>
        </mc:AlternateContent>
        <mc:AlternateContent xmlns:mc="http://schemas.openxmlformats.org/markup-compatibility/2006">
          <mc:Choice Requires="x14">
            <control shapeId="234500" r:id="rId6" name="Check Box 4">
              <controlPr defaultSize="0" autoFill="0" autoLine="0" autoPict="0">
                <anchor moveWithCells="1">
                  <from>
                    <xdr:col>1</xdr:col>
                    <xdr:colOff>95250</xdr:colOff>
                    <xdr:row>26</xdr:row>
                    <xdr:rowOff>9525</xdr:rowOff>
                  </from>
                  <to>
                    <xdr:col>2</xdr:col>
                    <xdr:colOff>485775</xdr:colOff>
                    <xdr:row>27</xdr:row>
                    <xdr:rowOff>9525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4D1B7-3B8A-4A54-AD48-4749C05EC0D8}">
  <dimension ref="A1:W47"/>
  <sheetViews>
    <sheetView topLeftCell="A28" workbookViewId="0">
      <selection activeCell="D39" sqref="D39"/>
    </sheetView>
  </sheetViews>
  <sheetFormatPr defaultRowHeight="15" x14ac:dyDescent="0.25"/>
  <cols>
    <col min="1" max="1" width="6" customWidth="1"/>
    <col min="2" max="2" width="33.140625" customWidth="1"/>
    <col min="3" max="3" width="24.85546875" customWidth="1"/>
    <col min="4" max="4" width="31.5703125" customWidth="1"/>
    <col min="5" max="5" width="40.28515625" customWidth="1"/>
    <col min="6" max="6" width="28.42578125" customWidth="1"/>
    <col min="7" max="7" width="22.28515625" customWidth="1"/>
    <col min="8" max="9" width="10.42578125" customWidth="1"/>
    <col min="10" max="10" width="16.42578125" customWidth="1"/>
    <col min="11" max="11" width="37.7109375" customWidth="1"/>
    <col min="12" max="12" width="13.42578125" customWidth="1"/>
    <col min="13" max="13" width="14.85546875" customWidth="1"/>
    <col min="14" max="14" width="9.5703125" customWidth="1"/>
    <col min="15" max="15" width="8.140625" customWidth="1"/>
    <col min="16" max="16" width="8" customWidth="1"/>
    <col min="17" max="18" width="10.5703125" bestFit="1" customWidth="1"/>
    <col min="19" max="19" width="10.28515625"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7.25" customHeight="1" x14ac:dyDescent="0.25">
      <c r="B5" s="25" t="s">
        <v>79</v>
      </c>
      <c r="C5" s="20">
        <v>1059</v>
      </c>
      <c r="E5" s="25" t="s">
        <v>83</v>
      </c>
      <c r="F5" s="20"/>
      <c r="H5" s="3"/>
      <c r="I5" s="3"/>
      <c r="J5" s="3"/>
    </row>
    <row r="6" spans="1:23" ht="36" customHeight="1" x14ac:dyDescent="0.25">
      <c r="B6" s="25" t="s">
        <v>80</v>
      </c>
      <c r="C6" s="29" t="s">
        <v>371</v>
      </c>
      <c r="E6" s="25" t="s">
        <v>84</v>
      </c>
      <c r="F6" s="20"/>
      <c r="H6" s="3"/>
      <c r="I6" s="3"/>
      <c r="J6" s="3"/>
    </row>
    <row r="7" spans="1:23" ht="18" customHeight="1" x14ac:dyDescent="0.25">
      <c r="B7" s="25" t="s">
        <v>81</v>
      </c>
      <c r="C7" s="20">
        <v>11001</v>
      </c>
      <c r="H7" s="3"/>
      <c r="I7" s="3"/>
      <c r="J7" s="3"/>
    </row>
    <row r="8" spans="1:23" ht="111" customHeight="1" x14ac:dyDescent="0.25">
      <c r="B8" s="25" t="s">
        <v>82</v>
      </c>
      <c r="C8" s="29" t="s">
        <v>372</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189.75" customHeight="1" x14ac:dyDescent="0.3">
      <c r="B13" s="30" t="s">
        <v>43</v>
      </c>
      <c r="C13" s="133" t="s">
        <v>737</v>
      </c>
      <c r="D13" s="21"/>
      <c r="E13" s="133" t="s">
        <v>738</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15" customHeight="1" x14ac:dyDescent="0.25">
      <c r="B17" s="365" t="s">
        <v>89</v>
      </c>
      <c r="C17" s="365" t="s">
        <v>90</v>
      </c>
      <c r="D17" s="365" t="s">
        <v>91</v>
      </c>
      <c r="E17" s="365" t="s">
        <v>92</v>
      </c>
      <c r="F17" s="364" t="s">
        <v>93</v>
      </c>
      <c r="G17" s="364"/>
      <c r="H17" s="364"/>
      <c r="I17" s="364"/>
      <c r="J17" s="364"/>
      <c r="K17" s="364" t="s">
        <v>94</v>
      </c>
    </row>
    <row r="18" spans="1:11" x14ac:dyDescent="0.25">
      <c r="B18" s="365"/>
      <c r="C18" s="365"/>
      <c r="D18" s="365"/>
      <c r="E18" s="365"/>
      <c r="F18" s="27" t="s">
        <v>51</v>
      </c>
      <c r="G18" s="27" t="s">
        <v>52</v>
      </c>
      <c r="H18" s="27" t="s">
        <v>0</v>
      </c>
      <c r="I18" s="27" t="s">
        <v>1</v>
      </c>
      <c r="J18" s="27" t="s">
        <v>3</v>
      </c>
      <c r="K18" s="364"/>
    </row>
    <row r="19" spans="1:11" ht="55.15" customHeight="1" x14ac:dyDescent="0.25">
      <c r="B19" s="133" t="s">
        <v>373</v>
      </c>
      <c r="C19" s="21" t="s">
        <v>111</v>
      </c>
      <c r="D19" s="21" t="s">
        <v>44</v>
      </c>
      <c r="E19" s="21"/>
      <c r="F19" s="21">
        <v>163.6</v>
      </c>
      <c r="G19" s="21">
        <v>163.6</v>
      </c>
      <c r="H19" s="21">
        <v>187</v>
      </c>
      <c r="I19" s="21">
        <v>187</v>
      </c>
      <c r="J19" s="21">
        <v>187</v>
      </c>
      <c r="K19" s="133" t="s">
        <v>374</v>
      </c>
    </row>
    <row r="20" spans="1:11" ht="55.15" customHeight="1" x14ac:dyDescent="0.25">
      <c r="B20" s="133" t="s">
        <v>375</v>
      </c>
      <c r="C20" s="21" t="s">
        <v>376</v>
      </c>
      <c r="D20" s="21" t="s">
        <v>47</v>
      </c>
      <c r="E20" s="21"/>
      <c r="F20" s="21">
        <v>180000</v>
      </c>
      <c r="G20" s="21">
        <v>180000</v>
      </c>
      <c r="H20" s="21">
        <v>315000</v>
      </c>
      <c r="I20" s="21">
        <v>315000</v>
      </c>
      <c r="J20" s="21">
        <v>315000</v>
      </c>
      <c r="K20" s="133" t="s">
        <v>377</v>
      </c>
    </row>
    <row r="21" spans="1:11" ht="90.6" customHeight="1" x14ac:dyDescent="0.25">
      <c r="B21" s="133" t="s">
        <v>378</v>
      </c>
      <c r="C21" s="21" t="s">
        <v>379</v>
      </c>
      <c r="D21" s="21" t="s">
        <v>47</v>
      </c>
      <c r="E21" s="21"/>
      <c r="F21" s="21">
        <v>85</v>
      </c>
      <c r="G21" s="21">
        <v>85</v>
      </c>
      <c r="H21" s="21">
        <v>170</v>
      </c>
      <c r="I21" s="21">
        <v>170</v>
      </c>
      <c r="J21" s="21">
        <v>170</v>
      </c>
      <c r="K21" s="133" t="s">
        <v>380</v>
      </c>
    </row>
    <row r="22" spans="1:11" ht="102" customHeight="1" x14ac:dyDescent="0.25">
      <c r="B22" s="133" t="s">
        <v>381</v>
      </c>
      <c r="C22" s="21" t="s">
        <v>382</v>
      </c>
      <c r="D22" s="21" t="s">
        <v>44</v>
      </c>
      <c r="E22" s="21"/>
      <c r="F22" s="21">
        <v>123.5</v>
      </c>
      <c r="G22" s="21">
        <v>123.5</v>
      </c>
      <c r="H22" s="21">
        <v>123.5</v>
      </c>
      <c r="I22" s="21">
        <v>123.5</v>
      </c>
      <c r="J22" s="21">
        <v>123.5</v>
      </c>
      <c r="K22" s="133" t="s">
        <v>383</v>
      </c>
    </row>
    <row r="23" spans="1:11" x14ac:dyDescent="0.25">
      <c r="B23" s="133" t="s">
        <v>176</v>
      </c>
      <c r="C23" s="21" t="s">
        <v>382</v>
      </c>
      <c r="D23" s="21" t="s">
        <v>44</v>
      </c>
      <c r="E23" s="21"/>
      <c r="F23" s="21">
        <v>7990</v>
      </c>
      <c r="G23" s="21">
        <v>7990</v>
      </c>
      <c r="H23" s="21">
        <v>15980</v>
      </c>
      <c r="I23" s="21">
        <v>15980</v>
      </c>
      <c r="J23" s="21">
        <v>15980</v>
      </c>
      <c r="K23" s="133"/>
    </row>
    <row r="24" spans="1:11" ht="17.25" x14ac:dyDescent="0.25">
      <c r="B24" s="3"/>
      <c r="C24" s="3"/>
      <c r="D24" s="3"/>
      <c r="E24" s="3"/>
      <c r="F24" s="3"/>
      <c r="G24" s="3"/>
      <c r="H24" s="3"/>
      <c r="I24" s="3"/>
      <c r="J24" s="3"/>
    </row>
    <row r="25" spans="1:11" ht="15.75" x14ac:dyDescent="0.25">
      <c r="A25" s="12" t="s">
        <v>53</v>
      </c>
      <c r="C25" s="13"/>
      <c r="D25" s="13"/>
      <c r="E25" s="13"/>
      <c r="F25" s="13"/>
      <c r="G25" s="13"/>
      <c r="H25" s="13"/>
      <c r="I25" s="13"/>
      <c r="J25" s="13"/>
    </row>
    <row r="26" spans="1:11" x14ac:dyDescent="0.25">
      <c r="A26" s="14"/>
      <c r="C26" s="15"/>
      <c r="D26" s="15"/>
      <c r="E26" s="15"/>
      <c r="F26" s="15"/>
      <c r="G26" s="15"/>
      <c r="H26" s="15"/>
      <c r="I26" s="15"/>
      <c r="J26" s="15"/>
    </row>
    <row r="27" spans="1:11" x14ac:dyDescent="0.25">
      <c r="A27" s="16" t="s">
        <v>54</v>
      </c>
      <c r="C27" s="17"/>
      <c r="D27" s="17"/>
      <c r="E27" s="13"/>
      <c r="F27" s="13"/>
      <c r="G27" s="13"/>
      <c r="H27" s="13"/>
      <c r="I27" s="13"/>
      <c r="J27" s="13"/>
    </row>
    <row r="28" spans="1:11" x14ac:dyDescent="0.25">
      <c r="B28" s="17"/>
      <c r="C28" s="17"/>
      <c r="D28" s="17"/>
      <c r="E28" s="13"/>
      <c r="F28" s="13"/>
      <c r="G28" s="13"/>
      <c r="H28" s="13"/>
      <c r="I28" s="13"/>
      <c r="J28" s="13"/>
    </row>
    <row r="29" spans="1:11" x14ac:dyDescent="0.25">
      <c r="B29" s="17"/>
      <c r="C29" s="17"/>
      <c r="D29" s="17"/>
      <c r="E29" s="13"/>
      <c r="F29" s="13"/>
      <c r="G29" s="13"/>
      <c r="H29" s="13"/>
      <c r="I29" s="13"/>
      <c r="J29" s="13"/>
    </row>
    <row r="30" spans="1:11" x14ac:dyDescent="0.25">
      <c r="B30" s="17"/>
      <c r="C30" s="17"/>
      <c r="D30" s="17"/>
      <c r="E30" s="13"/>
      <c r="F30" s="13"/>
      <c r="G30" s="13"/>
      <c r="H30" s="13"/>
      <c r="I30" s="13"/>
      <c r="J30" s="13"/>
    </row>
    <row r="31" spans="1:11" x14ac:dyDescent="0.25">
      <c r="B31" s="17"/>
      <c r="C31" s="17"/>
      <c r="D31" s="17"/>
      <c r="E31" s="13"/>
      <c r="F31" s="13"/>
      <c r="G31" s="13"/>
      <c r="H31" s="13"/>
      <c r="I31" s="13"/>
      <c r="J31" s="13"/>
    </row>
    <row r="32" spans="1:11" x14ac:dyDescent="0.25">
      <c r="A32" s="16" t="s">
        <v>55</v>
      </c>
      <c r="E32" s="13"/>
      <c r="F32" s="13"/>
      <c r="G32" s="13"/>
      <c r="H32" s="13"/>
      <c r="I32" s="13"/>
      <c r="J32" s="13"/>
    </row>
    <row r="33" spans="1:20" ht="62.25" customHeight="1" x14ac:dyDescent="0.25">
      <c r="B33" s="360"/>
      <c r="C33" s="361"/>
      <c r="D33" s="361"/>
      <c r="E33" s="362"/>
      <c r="F33" s="13"/>
      <c r="G33" s="13"/>
      <c r="H33" s="13"/>
      <c r="I33" s="13"/>
      <c r="J33" s="13"/>
    </row>
    <row r="34" spans="1:20" ht="17.25" x14ac:dyDescent="0.25">
      <c r="B34" s="3"/>
      <c r="C34" s="3"/>
      <c r="D34" s="3"/>
      <c r="E34" s="13"/>
      <c r="F34" s="13"/>
      <c r="G34" s="13"/>
      <c r="H34" s="13"/>
      <c r="I34" s="13"/>
      <c r="J34" s="13"/>
    </row>
    <row r="35" spans="1:20" x14ac:dyDescent="0.25">
      <c r="A35" s="7" t="s">
        <v>56</v>
      </c>
    </row>
    <row r="37" spans="1:20" ht="43.5" customHeight="1" x14ac:dyDescent="0.25">
      <c r="B37" s="363" t="s">
        <v>95</v>
      </c>
      <c r="C37" s="4" t="s">
        <v>96</v>
      </c>
      <c r="D37" s="4" t="s">
        <v>97</v>
      </c>
      <c r="E37" s="358" t="s">
        <v>98</v>
      </c>
      <c r="F37" s="358"/>
      <c r="G37" s="358"/>
      <c r="H37" s="358" t="s">
        <v>99</v>
      </c>
      <c r="I37" s="358"/>
      <c r="J37" s="358"/>
      <c r="K37" s="358" t="s">
        <v>100</v>
      </c>
      <c r="L37" s="358"/>
      <c r="M37" s="358"/>
      <c r="N37" s="358" t="s">
        <v>101</v>
      </c>
      <c r="O37" s="358"/>
      <c r="P37" s="358"/>
      <c r="Q37" s="359" t="s">
        <v>102</v>
      </c>
      <c r="R37" s="359"/>
      <c r="S37" s="359"/>
    </row>
    <row r="38" spans="1:20" ht="30" customHeight="1" x14ac:dyDescent="0.25">
      <c r="B38" s="363"/>
      <c r="C38" s="4" t="s">
        <v>35</v>
      </c>
      <c r="D38" s="4" t="s">
        <v>36</v>
      </c>
      <c r="E38" s="19" t="s">
        <v>0</v>
      </c>
      <c r="F38" s="19" t="s">
        <v>1</v>
      </c>
      <c r="G38" s="19" t="s">
        <v>3</v>
      </c>
      <c r="H38" s="19" t="s">
        <v>0</v>
      </c>
      <c r="I38" s="19" t="s">
        <v>1</v>
      </c>
      <c r="J38" s="19" t="s">
        <v>3</v>
      </c>
      <c r="K38" s="19" t="s">
        <v>39</v>
      </c>
      <c r="L38" s="19" t="s">
        <v>38</v>
      </c>
      <c r="M38" s="19" t="s">
        <v>37</v>
      </c>
      <c r="N38" s="19" t="s">
        <v>39</v>
      </c>
      <c r="O38" s="19" t="s">
        <v>38</v>
      </c>
      <c r="P38" s="19" t="s">
        <v>37</v>
      </c>
      <c r="Q38" s="26" t="s">
        <v>0</v>
      </c>
      <c r="R38" s="26" t="s">
        <v>1</v>
      </c>
      <c r="S38" s="26" t="s">
        <v>3</v>
      </c>
    </row>
    <row r="39" spans="1:20" ht="40.5" x14ac:dyDescent="0.25">
      <c r="B39" s="22" t="s">
        <v>739</v>
      </c>
      <c r="C39" s="51">
        <v>29448</v>
      </c>
      <c r="D39" s="51">
        <v>29652.5</v>
      </c>
      <c r="E39" s="93">
        <f>+(F20*0.187)-C39</f>
        <v>4212</v>
      </c>
      <c r="F39" s="93">
        <f>+(F20*0.187)-C39</f>
        <v>4212</v>
      </c>
      <c r="G39" s="93">
        <f>+(F20*0.187)-C39</f>
        <v>4212</v>
      </c>
      <c r="H39" s="93">
        <f>+(H20-G20)*0.187</f>
        <v>25245</v>
      </c>
      <c r="I39" s="93">
        <f>+(I20-F20)*0.187</f>
        <v>25245</v>
      </c>
      <c r="J39" s="93">
        <f>+(J20-F20)*0.187</f>
        <v>25245</v>
      </c>
      <c r="K39" s="52">
        <f>C39+E39+H39</f>
        <v>58905</v>
      </c>
      <c r="L39" s="52">
        <f>C39+F39+I39</f>
        <v>58905</v>
      </c>
      <c r="M39" s="52">
        <f>C39+G39+J39</f>
        <v>58905</v>
      </c>
      <c r="N39" s="93"/>
      <c r="O39" s="93"/>
      <c r="P39" s="93"/>
      <c r="Q39" s="70">
        <f>K39+N39</f>
        <v>58905</v>
      </c>
      <c r="R39" s="70">
        <f>L39+O39</f>
        <v>58905</v>
      </c>
      <c r="S39" s="26">
        <f>M39+P39</f>
        <v>58905</v>
      </c>
    </row>
    <row r="40" spans="1:20" ht="94.5" x14ac:dyDescent="0.25">
      <c r="B40" s="22" t="s">
        <v>381</v>
      </c>
      <c r="C40" s="51">
        <v>10497.5</v>
      </c>
      <c r="D40" s="51">
        <v>10497.5</v>
      </c>
      <c r="E40" s="93">
        <f>+(F21*123.5)-C40</f>
        <v>0</v>
      </c>
      <c r="F40" s="93">
        <f>+(F21*123.5)-C40</f>
        <v>0</v>
      </c>
      <c r="G40" s="93">
        <f>+(F21*123.5)-C40</f>
        <v>0</v>
      </c>
      <c r="H40" s="93">
        <f>+(H21-F21)*123.5</f>
        <v>10497.5</v>
      </c>
      <c r="I40" s="93">
        <f>+(I21-F21)*123.5</f>
        <v>10497.5</v>
      </c>
      <c r="J40" s="93">
        <f>+(J21-F21)*123.5</f>
        <v>10497.5</v>
      </c>
      <c r="K40" s="52">
        <f t="shared" ref="K40:K41" si="0">C40+E40+H40</f>
        <v>20995</v>
      </c>
      <c r="L40" s="52">
        <f>D40+F40+I40</f>
        <v>20995</v>
      </c>
      <c r="M40" s="52">
        <f t="shared" ref="M40:M41" si="1">C40+G40+J40</f>
        <v>20995</v>
      </c>
      <c r="N40" s="93"/>
      <c r="O40" s="93"/>
      <c r="P40" s="93"/>
      <c r="Q40" s="70">
        <f t="shared" ref="Q40:S41" si="2">K40+N40</f>
        <v>20995</v>
      </c>
      <c r="R40" s="70">
        <f t="shared" si="2"/>
        <v>20995</v>
      </c>
      <c r="S40" s="26">
        <f t="shared" si="2"/>
        <v>20995</v>
      </c>
    </row>
    <row r="41" spans="1:20" ht="21.75" customHeight="1" x14ac:dyDescent="0.25">
      <c r="B41" s="22" t="s">
        <v>176</v>
      </c>
      <c r="C41" s="51">
        <v>7790</v>
      </c>
      <c r="D41" s="51">
        <v>7790</v>
      </c>
      <c r="E41" s="93">
        <f>+H23-C41</f>
        <v>8190</v>
      </c>
      <c r="F41" s="93">
        <f t="shared" ref="F41" si="3">+I23-D41</f>
        <v>8190</v>
      </c>
      <c r="G41" s="93">
        <f>+J23-C41</f>
        <v>8190</v>
      </c>
      <c r="H41" s="93"/>
      <c r="I41" s="93"/>
      <c r="J41" s="93"/>
      <c r="K41" s="52">
        <f t="shared" si="0"/>
        <v>15980</v>
      </c>
      <c r="L41" s="52">
        <f>D41+F41+I41</f>
        <v>15980</v>
      </c>
      <c r="M41" s="52">
        <f t="shared" si="1"/>
        <v>15980</v>
      </c>
      <c r="N41" s="93"/>
      <c r="O41" s="93"/>
      <c r="P41" s="93"/>
      <c r="Q41" s="70">
        <f t="shared" si="2"/>
        <v>15980</v>
      </c>
      <c r="R41" s="70">
        <f t="shared" si="2"/>
        <v>15980</v>
      </c>
      <c r="S41" s="26">
        <f t="shared" si="2"/>
        <v>15980</v>
      </c>
    </row>
    <row r="42" spans="1:20" ht="28.5" x14ac:dyDescent="0.25">
      <c r="B42" s="18" t="s">
        <v>73</v>
      </c>
      <c r="C42" s="51">
        <f>+C39+C40</f>
        <v>39945.5</v>
      </c>
      <c r="D42" s="51">
        <f>+D39+D40</f>
        <v>40150</v>
      </c>
      <c r="E42" s="52">
        <f>SUM(E39:E41)</f>
        <v>12402</v>
      </c>
      <c r="F42" s="52">
        <f t="shared" ref="F42:G42" si="4">SUM(F39:F41)</f>
        <v>12402</v>
      </c>
      <c r="G42" s="52">
        <f t="shared" si="4"/>
        <v>12402</v>
      </c>
      <c r="H42" s="52">
        <f>SUM(H39:H40)</f>
        <v>35742.5</v>
      </c>
      <c r="I42" s="52">
        <f>SUM(I39:I40)</f>
        <v>35742.5</v>
      </c>
      <c r="J42" s="52">
        <f>SUM(J39:J40)</f>
        <v>35742.5</v>
      </c>
      <c r="K42" s="52">
        <f>C42+E42+H42</f>
        <v>88090</v>
      </c>
      <c r="L42" s="52">
        <f>+C42+F42+I42</f>
        <v>88090</v>
      </c>
      <c r="M42" s="52">
        <f>+C42+G42+J42</f>
        <v>88090</v>
      </c>
      <c r="N42" s="82" t="s">
        <v>2</v>
      </c>
      <c r="O42" s="82" t="s">
        <v>2</v>
      </c>
      <c r="P42" s="82" t="s">
        <v>2</v>
      </c>
      <c r="Q42" s="70" t="s">
        <v>2</v>
      </c>
      <c r="R42" s="70" t="s">
        <v>2</v>
      </c>
      <c r="S42" s="26" t="s">
        <v>2</v>
      </c>
    </row>
    <row r="43" spans="1:20" ht="28.5" x14ac:dyDescent="0.25">
      <c r="B43" s="18" t="s">
        <v>60</v>
      </c>
      <c r="C43" s="51">
        <f>+C41</f>
        <v>7790</v>
      </c>
      <c r="D43" s="51">
        <f>+D41</f>
        <v>7790</v>
      </c>
      <c r="E43" s="52" t="s">
        <v>72</v>
      </c>
      <c r="F43" s="52" t="s">
        <v>72</v>
      </c>
      <c r="G43" s="52" t="s">
        <v>72</v>
      </c>
      <c r="H43" s="52" t="s">
        <v>72</v>
      </c>
      <c r="I43" s="52" t="s">
        <v>72</v>
      </c>
      <c r="J43" s="52" t="s">
        <v>72</v>
      </c>
      <c r="K43" s="52">
        <f>C43</f>
        <v>7790</v>
      </c>
      <c r="L43" s="52">
        <f>C43</f>
        <v>7790</v>
      </c>
      <c r="M43" s="52">
        <f>C43</f>
        <v>7790</v>
      </c>
      <c r="N43" s="82" t="s">
        <v>2</v>
      </c>
      <c r="O43" s="82" t="s">
        <v>2</v>
      </c>
      <c r="P43" s="82" t="s">
        <v>2</v>
      </c>
      <c r="Q43" s="70" t="s">
        <v>2</v>
      </c>
      <c r="R43" s="70" t="s">
        <v>2</v>
      </c>
      <c r="S43" s="26" t="s">
        <v>2</v>
      </c>
    </row>
    <row r="44" spans="1:20" x14ac:dyDescent="0.25">
      <c r="B44" s="18" t="s">
        <v>61</v>
      </c>
      <c r="C44" s="259">
        <f>SUM(C39:C41)</f>
        <v>47735.5</v>
      </c>
      <c r="D44" s="259">
        <f>SUM(D39:D41)</f>
        <v>47940</v>
      </c>
      <c r="E44" s="259">
        <f>E42</f>
        <v>12402</v>
      </c>
      <c r="F44" s="259">
        <f t="shared" ref="F44:J44" si="5">F42</f>
        <v>12402</v>
      </c>
      <c r="G44" s="259">
        <f t="shared" si="5"/>
        <v>12402</v>
      </c>
      <c r="H44" s="259">
        <f t="shared" si="5"/>
        <v>35742.5</v>
      </c>
      <c r="I44" s="259">
        <f t="shared" si="5"/>
        <v>35742.5</v>
      </c>
      <c r="J44" s="259">
        <f t="shared" si="5"/>
        <v>35742.5</v>
      </c>
      <c r="K44" s="260">
        <f>K42+K43</f>
        <v>95880</v>
      </c>
      <c r="L44" s="260">
        <f t="shared" ref="L44:M44" si="6">L42+L43</f>
        <v>95880</v>
      </c>
      <c r="M44" s="260">
        <f t="shared" si="6"/>
        <v>95880</v>
      </c>
      <c r="N44" s="260">
        <f>SUM(N39:N40)</f>
        <v>0</v>
      </c>
      <c r="O44" s="260">
        <f>SUM(O39:O40)</f>
        <v>0</v>
      </c>
      <c r="P44" s="260">
        <f>SUM(P39:P40)</f>
        <v>0</v>
      </c>
      <c r="Q44" s="263">
        <f>K44+N44</f>
        <v>95880</v>
      </c>
      <c r="R44" s="263">
        <f>L44+O44</f>
        <v>95880</v>
      </c>
      <c r="S44" s="263">
        <f>M44+P44</f>
        <v>95880</v>
      </c>
      <c r="T44" s="293"/>
    </row>
    <row r="45" spans="1:20" x14ac:dyDescent="0.25">
      <c r="C45" s="293"/>
      <c r="D45" s="293"/>
      <c r="E45" s="293"/>
      <c r="F45" s="293"/>
      <c r="G45" s="293"/>
      <c r="H45" s="293"/>
      <c r="I45" s="293"/>
      <c r="J45" s="293"/>
      <c r="K45" s="293"/>
      <c r="L45" s="293"/>
      <c r="M45" s="293"/>
      <c r="N45" s="293"/>
      <c r="O45" s="293"/>
      <c r="P45" s="293"/>
      <c r="Q45" s="293"/>
      <c r="R45" s="293"/>
      <c r="S45" s="293"/>
      <c r="T45" s="293"/>
    </row>
    <row r="46" spans="1:20" x14ac:dyDescent="0.25">
      <c r="C46" s="293"/>
      <c r="D46" s="293"/>
      <c r="E46" s="293"/>
      <c r="F46" s="293"/>
      <c r="G46" s="293"/>
      <c r="H46" s="293"/>
      <c r="I46" s="293"/>
      <c r="J46" s="293"/>
      <c r="K46" s="293"/>
      <c r="L46" s="293"/>
      <c r="M46" s="293"/>
      <c r="N46" s="293"/>
      <c r="O46" s="293"/>
      <c r="P46" s="293"/>
      <c r="Q46" s="293"/>
      <c r="R46" s="293"/>
      <c r="S46" s="293"/>
      <c r="T46" s="293"/>
    </row>
    <row r="47" spans="1:20" x14ac:dyDescent="0.25">
      <c r="E47" s="84"/>
    </row>
  </sheetData>
  <mergeCells count="13">
    <mergeCell ref="K17:K18"/>
    <mergeCell ref="B17:B18"/>
    <mergeCell ref="C17:C18"/>
    <mergeCell ref="D17:D18"/>
    <mergeCell ref="E17:E18"/>
    <mergeCell ref="F17:J17"/>
    <mergeCell ref="Q37:S37"/>
    <mergeCell ref="B33:E33"/>
    <mergeCell ref="B37:B38"/>
    <mergeCell ref="E37:G37"/>
    <mergeCell ref="H37:J37"/>
    <mergeCell ref="K37:M37"/>
    <mergeCell ref="N37:P37"/>
  </mergeCells>
  <dataValidations count="4">
    <dataValidation showInputMessage="1" showErrorMessage="1" sqref="E19:E23" xr:uid="{588FEEC6-544D-4BF9-B381-0EF352CAA5EC}"/>
    <dataValidation type="list" allowBlank="1" showInputMessage="1" showErrorMessage="1" sqref="D19:D23" xr:uid="{D2B59A31-2677-4024-AF3C-42BBBABA0BB3}">
      <formula1>$V$2:$V$3</formula1>
    </dataValidation>
    <dataValidation type="list" allowBlank="1" showInputMessage="1" showErrorMessage="1" sqref="B13" xr:uid="{0D06C0AA-17B5-4070-960A-81296D122C9E}">
      <formula1>$U$2:$U$4</formula1>
    </dataValidation>
    <dataValidation type="custom" allowBlank="1" showInputMessage="1" showErrorMessage="1" sqref="N39:P41" xr:uid="{07DD652F-9E08-4017-9EF4-642CADABA48A}">
      <formula1>"-"</formula1>
    </dataValidation>
  </dataValidations>
  <hyperlinks>
    <hyperlink ref="C12" location="_ftn1" display="_ftn1" xr:uid="{1C06620C-C67E-479F-95AA-39F0A4356197}"/>
    <hyperlink ref="D12" location="_ftn2" display="_ftn2" xr:uid="{597C810B-E88C-44AD-A8BE-2DB353C72195}"/>
    <hyperlink ref="E12" location="_ftn3" display="_ftn3" xr:uid="{90D9AA17-FD16-4214-953E-588A1638FB76}"/>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1505" r:id="rId3" name="Check Box 1">
              <controlPr defaultSize="0" autoFill="0" autoLine="0" autoPict="0">
                <anchor moveWithCells="1">
                  <from>
                    <xdr:col>1</xdr:col>
                    <xdr:colOff>85725</xdr:colOff>
                    <xdr:row>29</xdr:row>
                    <xdr:rowOff>0</xdr:rowOff>
                  </from>
                  <to>
                    <xdr:col>2</xdr:col>
                    <xdr:colOff>1171575</xdr:colOff>
                    <xdr:row>30</xdr:row>
                    <xdr:rowOff>38100</xdr:rowOff>
                  </to>
                </anchor>
              </controlPr>
            </control>
          </mc:Choice>
        </mc:AlternateContent>
        <mc:AlternateContent xmlns:mc="http://schemas.openxmlformats.org/markup-compatibility/2006">
          <mc:Choice Requires="x14">
            <control shapeId="21506" r:id="rId4" name="Check Box 2">
              <controlPr defaultSize="0" autoFill="0" autoLine="0" autoPict="0">
                <anchor moveWithCells="1">
                  <from>
                    <xdr:col>1</xdr:col>
                    <xdr:colOff>85725</xdr:colOff>
                    <xdr:row>28</xdr:row>
                    <xdr:rowOff>28575</xdr:rowOff>
                  </from>
                  <to>
                    <xdr:col>3</xdr:col>
                    <xdr:colOff>266700</xdr:colOff>
                    <xdr:row>29</xdr:row>
                    <xdr:rowOff>9525</xdr:rowOff>
                  </to>
                </anchor>
              </controlPr>
            </control>
          </mc:Choice>
        </mc:AlternateContent>
        <mc:AlternateContent xmlns:mc="http://schemas.openxmlformats.org/markup-compatibility/2006">
          <mc:Choice Requires="x14">
            <control shapeId="21507" r:id="rId5" name="Check Box 3">
              <controlPr defaultSize="0" autoFill="0" autoLine="0" autoPict="0">
                <anchor moveWithCells="1">
                  <from>
                    <xdr:col>1</xdr:col>
                    <xdr:colOff>95250</xdr:colOff>
                    <xdr:row>30</xdr:row>
                    <xdr:rowOff>9525</xdr:rowOff>
                  </from>
                  <to>
                    <xdr:col>2</xdr:col>
                    <xdr:colOff>571500</xdr:colOff>
                    <xdr:row>31</xdr:row>
                    <xdr:rowOff>9525</xdr:rowOff>
                  </to>
                </anchor>
              </controlPr>
            </control>
          </mc:Choice>
        </mc:AlternateContent>
        <mc:AlternateContent xmlns:mc="http://schemas.openxmlformats.org/markup-compatibility/2006">
          <mc:Choice Requires="x14">
            <control shapeId="21508" r:id="rId6" name="Check Box 4">
              <controlPr defaultSize="0" autoFill="0" autoLine="0" autoPict="0">
                <anchor moveWithCells="1">
                  <from>
                    <xdr:col>1</xdr:col>
                    <xdr:colOff>85725</xdr:colOff>
                    <xdr:row>29</xdr:row>
                    <xdr:rowOff>0</xdr:rowOff>
                  </from>
                  <to>
                    <xdr:col>2</xdr:col>
                    <xdr:colOff>1171575</xdr:colOff>
                    <xdr:row>30</xdr:row>
                    <xdr:rowOff>28575</xdr:rowOff>
                  </to>
                </anchor>
              </controlPr>
            </control>
          </mc:Choice>
        </mc:AlternateContent>
        <mc:AlternateContent xmlns:mc="http://schemas.openxmlformats.org/markup-compatibility/2006">
          <mc:Choice Requires="x14">
            <control shapeId="21509" r:id="rId7" name="Check Box 5">
              <controlPr defaultSize="0" autoFill="0" autoLine="0" autoPict="0">
                <anchor moveWithCells="1">
                  <from>
                    <xdr:col>1</xdr:col>
                    <xdr:colOff>85725</xdr:colOff>
                    <xdr:row>26</xdr:row>
                    <xdr:rowOff>171450</xdr:rowOff>
                  </from>
                  <to>
                    <xdr:col>3</xdr:col>
                    <xdr:colOff>266700</xdr:colOff>
                    <xdr:row>28</xdr:row>
                    <xdr:rowOff>28575</xdr:rowOff>
                  </to>
                </anchor>
              </controlPr>
            </control>
          </mc:Choice>
        </mc:AlternateContent>
        <mc:AlternateContent xmlns:mc="http://schemas.openxmlformats.org/markup-compatibility/2006">
          <mc:Choice Requires="x14">
            <control shapeId="21510" r:id="rId8" name="Check Box 6">
              <controlPr defaultSize="0" autoFill="0" autoLine="0" autoPict="0">
                <anchor moveWithCells="1">
                  <from>
                    <xdr:col>1</xdr:col>
                    <xdr:colOff>85725</xdr:colOff>
                    <xdr:row>28</xdr:row>
                    <xdr:rowOff>28575</xdr:rowOff>
                  </from>
                  <to>
                    <xdr:col>3</xdr:col>
                    <xdr:colOff>266700</xdr:colOff>
                    <xdr:row>29</xdr:row>
                    <xdr:rowOff>0</xdr:rowOff>
                  </to>
                </anchor>
              </controlPr>
            </control>
          </mc:Choice>
        </mc:AlternateContent>
        <mc:AlternateContent xmlns:mc="http://schemas.openxmlformats.org/markup-compatibility/2006">
          <mc:Choice Requires="x14">
            <control shapeId="21511" r:id="rId9" name="Check Box 7">
              <controlPr defaultSize="0" autoFill="0" autoLine="0" autoPict="0">
                <anchor moveWithCells="1">
                  <from>
                    <xdr:col>1</xdr:col>
                    <xdr:colOff>95250</xdr:colOff>
                    <xdr:row>30</xdr:row>
                    <xdr:rowOff>9525</xdr:rowOff>
                  </from>
                  <to>
                    <xdr:col>2</xdr:col>
                    <xdr:colOff>571500</xdr:colOff>
                    <xdr:row>31</xdr:row>
                    <xdr:rowOff>0</xdr:rowOff>
                  </to>
                </anchor>
              </controlPr>
            </control>
          </mc:Choice>
        </mc:AlternateContent>
        <mc:AlternateContent xmlns:mc="http://schemas.openxmlformats.org/markup-compatibility/2006">
          <mc:Choice Requires="x14">
            <control shapeId="21512" r:id="rId10" name="Check Box 8">
              <controlPr defaultSize="0" autoFill="0" autoLine="0" autoPict="0">
                <anchor moveWithCells="1">
                  <from>
                    <xdr:col>1</xdr:col>
                    <xdr:colOff>85725</xdr:colOff>
                    <xdr:row>29</xdr:row>
                    <xdr:rowOff>0</xdr:rowOff>
                  </from>
                  <to>
                    <xdr:col>2</xdr:col>
                    <xdr:colOff>1171575</xdr:colOff>
                    <xdr:row>30</xdr:row>
                    <xdr:rowOff>28575</xdr:rowOff>
                  </to>
                </anchor>
              </controlPr>
            </control>
          </mc:Choice>
        </mc:AlternateContent>
        <mc:AlternateContent xmlns:mc="http://schemas.openxmlformats.org/markup-compatibility/2006">
          <mc:Choice Requires="x14">
            <control shapeId="21513" r:id="rId11" name="Check Box 9">
              <controlPr defaultSize="0" autoFill="0" autoLine="0" autoPict="0">
                <anchor moveWithCells="1">
                  <from>
                    <xdr:col>1</xdr:col>
                    <xdr:colOff>85725</xdr:colOff>
                    <xdr:row>26</xdr:row>
                    <xdr:rowOff>171450</xdr:rowOff>
                  </from>
                  <to>
                    <xdr:col>3</xdr:col>
                    <xdr:colOff>266700</xdr:colOff>
                    <xdr:row>28</xdr:row>
                    <xdr:rowOff>28575</xdr:rowOff>
                  </to>
                </anchor>
              </controlPr>
            </control>
          </mc:Choice>
        </mc:AlternateContent>
        <mc:AlternateContent xmlns:mc="http://schemas.openxmlformats.org/markup-compatibility/2006">
          <mc:Choice Requires="x14">
            <control shapeId="21514" r:id="rId12" name="Check Box 10">
              <controlPr defaultSize="0" autoFill="0" autoLine="0" autoPict="0">
                <anchor moveWithCells="1">
                  <from>
                    <xdr:col>1</xdr:col>
                    <xdr:colOff>85725</xdr:colOff>
                    <xdr:row>28</xdr:row>
                    <xdr:rowOff>28575</xdr:rowOff>
                  </from>
                  <to>
                    <xdr:col>3</xdr:col>
                    <xdr:colOff>266700</xdr:colOff>
                    <xdr:row>29</xdr:row>
                    <xdr:rowOff>0</xdr:rowOff>
                  </to>
                </anchor>
              </controlPr>
            </control>
          </mc:Choice>
        </mc:AlternateContent>
        <mc:AlternateContent xmlns:mc="http://schemas.openxmlformats.org/markup-compatibility/2006">
          <mc:Choice Requires="x14">
            <control shapeId="21515" r:id="rId13" name="Check Box 11">
              <controlPr defaultSize="0" autoFill="0" autoLine="0" autoPict="0">
                <anchor moveWithCells="1">
                  <from>
                    <xdr:col>1</xdr:col>
                    <xdr:colOff>95250</xdr:colOff>
                    <xdr:row>30</xdr:row>
                    <xdr:rowOff>9525</xdr:rowOff>
                  </from>
                  <to>
                    <xdr:col>2</xdr:col>
                    <xdr:colOff>571500</xdr:colOff>
                    <xdr:row>31</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E6DE2-C834-4DD1-8E83-AFB927495587}">
  <dimension ref="A1:W72"/>
  <sheetViews>
    <sheetView topLeftCell="A29" workbookViewId="0">
      <selection activeCell="D54" sqref="D54"/>
    </sheetView>
  </sheetViews>
  <sheetFormatPr defaultRowHeight="15" x14ac:dyDescent="0.25"/>
  <cols>
    <col min="1" max="1" width="6" customWidth="1"/>
    <col min="2" max="2" width="33.140625" customWidth="1"/>
    <col min="3" max="3" width="36.42578125" customWidth="1"/>
    <col min="4" max="4" width="23.7109375" customWidth="1"/>
    <col min="5" max="5" width="42" customWidth="1"/>
    <col min="6" max="6" width="19.42578125" customWidth="1"/>
    <col min="7" max="7" width="14.85546875" customWidth="1"/>
    <col min="8" max="8" width="13.5703125" customWidth="1"/>
    <col min="9" max="9" width="11.7109375" customWidth="1"/>
    <col min="10" max="10" width="12.5703125" customWidth="1"/>
    <col min="11" max="11" width="29.85546875" customWidth="1"/>
    <col min="12" max="12" width="14.42578125" customWidth="1"/>
    <col min="13" max="13" width="14.7109375" customWidth="1"/>
    <col min="14" max="14" width="9.5703125" customWidth="1"/>
    <col min="15" max="15" width="8.140625" customWidth="1"/>
    <col min="16" max="16" width="8" customWidth="1"/>
    <col min="17" max="17" width="12" customWidth="1"/>
    <col min="18" max="18" width="11.7109375" customWidth="1"/>
    <col min="19" max="19" width="10.7109375"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35.25" customHeight="1" x14ac:dyDescent="0.25">
      <c r="B5" s="25" t="s">
        <v>79</v>
      </c>
      <c r="C5" s="289">
        <v>1059</v>
      </c>
      <c r="E5" s="25" t="s">
        <v>83</v>
      </c>
      <c r="F5" s="20" t="s">
        <v>357</v>
      </c>
      <c r="H5" s="3"/>
      <c r="I5" s="3"/>
      <c r="J5" s="3"/>
    </row>
    <row r="6" spans="1:23" ht="36.75" customHeight="1" x14ac:dyDescent="0.25">
      <c r="B6" s="25" t="s">
        <v>80</v>
      </c>
      <c r="C6" s="290" t="s">
        <v>358</v>
      </c>
      <c r="D6" s="157"/>
      <c r="E6" s="25" t="s">
        <v>84</v>
      </c>
      <c r="F6" s="20" t="s">
        <v>245</v>
      </c>
      <c r="G6" s="157"/>
      <c r="H6" s="3"/>
      <c r="I6" s="3"/>
      <c r="J6" s="3"/>
    </row>
    <row r="7" spans="1:23" ht="18" customHeight="1" x14ac:dyDescent="0.25">
      <c r="B7" s="25" t="s">
        <v>81</v>
      </c>
      <c r="C7" s="289">
        <v>11002</v>
      </c>
      <c r="H7" s="3"/>
      <c r="I7" s="3"/>
      <c r="J7" s="3"/>
    </row>
    <row r="8" spans="1:23" ht="42" customHeight="1" x14ac:dyDescent="0.25">
      <c r="B8" s="25" t="s">
        <v>82</v>
      </c>
      <c r="C8" s="290" t="s">
        <v>359</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91.5" customHeight="1" x14ac:dyDescent="0.25">
      <c r="B12" s="10" t="s">
        <v>85</v>
      </c>
      <c r="C12" s="28" t="s">
        <v>86</v>
      </c>
      <c r="D12" s="28" t="s">
        <v>87</v>
      </c>
      <c r="E12" s="28" t="s">
        <v>88</v>
      </c>
      <c r="F12" s="3"/>
      <c r="G12" s="3"/>
      <c r="H12" s="3"/>
      <c r="I12" s="3"/>
      <c r="J12" s="3"/>
    </row>
    <row r="13" spans="1:23" ht="102" customHeight="1" x14ac:dyDescent="0.3">
      <c r="B13" s="58" t="s">
        <v>48</v>
      </c>
      <c r="C13" s="315" t="s">
        <v>360</v>
      </c>
      <c r="D13" s="21"/>
      <c r="E13" s="133" t="s">
        <v>361</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15" customHeight="1" x14ac:dyDescent="0.25">
      <c r="B17" s="365" t="s">
        <v>89</v>
      </c>
      <c r="C17" s="365" t="s">
        <v>90</v>
      </c>
      <c r="D17" s="365" t="s">
        <v>91</v>
      </c>
      <c r="E17" s="365" t="s">
        <v>92</v>
      </c>
      <c r="F17" s="364" t="s">
        <v>93</v>
      </c>
      <c r="G17" s="364"/>
      <c r="H17" s="364"/>
      <c r="I17" s="364"/>
      <c r="J17" s="364"/>
      <c r="K17" s="364" t="s">
        <v>94</v>
      </c>
    </row>
    <row r="18" spans="1:11" ht="27" x14ac:dyDescent="0.25">
      <c r="B18" s="365"/>
      <c r="C18" s="365"/>
      <c r="D18" s="365"/>
      <c r="E18" s="365"/>
      <c r="F18" s="27" t="s">
        <v>51</v>
      </c>
      <c r="G18" s="27" t="s">
        <v>52</v>
      </c>
      <c r="H18" s="27" t="s">
        <v>0</v>
      </c>
      <c r="I18" s="27" t="s">
        <v>1</v>
      </c>
      <c r="J18" s="27" t="s">
        <v>3</v>
      </c>
      <c r="K18" s="364"/>
    </row>
    <row r="19" spans="1:11" ht="62.25" customHeight="1" x14ac:dyDescent="0.25">
      <c r="B19" s="46" t="s">
        <v>362</v>
      </c>
      <c r="C19" s="21" t="s">
        <v>363</v>
      </c>
      <c r="D19" s="21" t="s">
        <v>47</v>
      </c>
      <c r="E19" s="21"/>
      <c r="F19" s="22">
        <v>3100</v>
      </c>
      <c r="G19" s="22">
        <v>2630</v>
      </c>
      <c r="H19" s="22">
        <v>3185</v>
      </c>
      <c r="I19" s="22">
        <v>3185</v>
      </c>
      <c r="J19" s="22">
        <v>3185</v>
      </c>
      <c r="K19" s="44" t="s">
        <v>364</v>
      </c>
    </row>
    <row r="20" spans="1:11" ht="60" customHeight="1" x14ac:dyDescent="0.25">
      <c r="B20" s="46" t="s">
        <v>365</v>
      </c>
      <c r="C20" s="21" t="s">
        <v>363</v>
      </c>
      <c r="D20" s="21" t="s">
        <v>47</v>
      </c>
      <c r="E20" s="21"/>
      <c r="F20" s="22">
        <v>275</v>
      </c>
      <c r="G20" s="22">
        <v>275</v>
      </c>
      <c r="H20" s="22">
        <v>335</v>
      </c>
      <c r="I20" s="22">
        <v>335</v>
      </c>
      <c r="J20" s="22">
        <v>335</v>
      </c>
      <c r="K20" s="44" t="s">
        <v>364</v>
      </c>
    </row>
    <row r="21" spans="1:11" ht="60" customHeight="1" x14ac:dyDescent="0.25">
      <c r="B21" s="46" t="s">
        <v>365</v>
      </c>
      <c r="C21" s="21" t="s">
        <v>111</v>
      </c>
      <c r="D21" s="21" t="s">
        <v>44</v>
      </c>
      <c r="E21" s="21"/>
      <c r="F21" s="22">
        <v>5.22</v>
      </c>
      <c r="G21" s="22">
        <v>6.3</v>
      </c>
      <c r="H21" s="22">
        <v>6.3</v>
      </c>
      <c r="I21" s="22">
        <v>6.3</v>
      </c>
      <c r="J21" s="22">
        <v>6.3</v>
      </c>
      <c r="K21" s="44" t="s">
        <v>366</v>
      </c>
    </row>
    <row r="22" spans="1:11" ht="69" customHeight="1" x14ac:dyDescent="0.25">
      <c r="B22" s="158" t="s">
        <v>367</v>
      </c>
      <c r="C22" s="21" t="s">
        <v>117</v>
      </c>
      <c r="D22" s="21" t="s">
        <v>47</v>
      </c>
      <c r="E22" s="21"/>
      <c r="F22" s="22">
        <v>0</v>
      </c>
      <c r="G22" s="22">
        <v>558</v>
      </c>
      <c r="H22" s="22">
        <v>1675</v>
      </c>
      <c r="I22" s="22">
        <v>1675</v>
      </c>
      <c r="J22" s="22">
        <v>1675</v>
      </c>
      <c r="K22" s="44" t="s">
        <v>368</v>
      </c>
    </row>
    <row r="23" spans="1:11" ht="71.25" customHeight="1" x14ac:dyDescent="0.25">
      <c r="B23" s="158" t="s">
        <v>369</v>
      </c>
      <c r="C23" s="21" t="s">
        <v>117</v>
      </c>
      <c r="D23" s="21" t="s">
        <v>47</v>
      </c>
      <c r="E23" s="21"/>
      <c r="F23" s="22">
        <v>0</v>
      </c>
      <c r="G23" s="22">
        <v>207</v>
      </c>
      <c r="H23" s="22">
        <v>622</v>
      </c>
      <c r="I23" s="22">
        <v>622</v>
      </c>
      <c r="J23" s="22">
        <v>622</v>
      </c>
      <c r="K23" s="44" t="s">
        <v>368</v>
      </c>
    </row>
    <row r="24" spans="1:11" ht="71.25" customHeight="1" x14ac:dyDescent="0.25">
      <c r="B24" s="158" t="s">
        <v>370</v>
      </c>
      <c r="C24" s="21" t="s">
        <v>117</v>
      </c>
      <c r="D24" s="21" t="s">
        <v>47</v>
      </c>
      <c r="E24" s="21"/>
      <c r="F24" s="22">
        <v>0</v>
      </c>
      <c r="G24" s="22">
        <v>294</v>
      </c>
      <c r="H24" s="22">
        <v>882</v>
      </c>
      <c r="I24" s="22">
        <v>882</v>
      </c>
      <c r="J24" s="22">
        <v>882</v>
      </c>
      <c r="K24" s="44" t="s">
        <v>368</v>
      </c>
    </row>
    <row r="25" spans="1:11" ht="17.25" x14ac:dyDescent="0.25">
      <c r="B25" s="3"/>
      <c r="C25" s="3"/>
      <c r="D25" s="3"/>
      <c r="E25" s="3"/>
      <c r="F25" s="3"/>
      <c r="G25" s="3"/>
      <c r="H25" s="3"/>
      <c r="I25" s="3"/>
      <c r="J25" s="3"/>
    </row>
    <row r="26" spans="1:11" ht="15.75" x14ac:dyDescent="0.25">
      <c r="A26" s="12" t="s">
        <v>53</v>
      </c>
      <c r="C26" s="13"/>
      <c r="D26" s="13"/>
      <c r="E26" s="13"/>
      <c r="F26" s="13"/>
      <c r="G26" s="13"/>
      <c r="H26" s="13"/>
      <c r="I26" s="13"/>
      <c r="J26" s="13"/>
    </row>
    <row r="27" spans="1:11" x14ac:dyDescent="0.25">
      <c r="A27" s="14"/>
      <c r="C27" s="15"/>
      <c r="D27" s="15"/>
      <c r="E27" s="15"/>
      <c r="F27" s="15"/>
      <c r="G27" s="15"/>
      <c r="H27" s="15"/>
      <c r="I27" s="15"/>
      <c r="J27" s="15"/>
    </row>
    <row r="28" spans="1:11" x14ac:dyDescent="0.25">
      <c r="A28" s="16" t="s">
        <v>54</v>
      </c>
      <c r="C28" s="17"/>
      <c r="D28" s="17"/>
      <c r="E28" s="13"/>
      <c r="F28" s="13"/>
      <c r="G28" s="13"/>
      <c r="H28" s="13"/>
      <c r="I28" s="13"/>
      <c r="J28" s="13"/>
    </row>
    <row r="29" spans="1:11" x14ac:dyDescent="0.25">
      <c r="B29" s="17"/>
      <c r="C29" s="17"/>
      <c r="D29" s="17"/>
      <c r="E29" s="13"/>
      <c r="F29" s="13"/>
      <c r="G29" s="13"/>
      <c r="H29" s="13"/>
      <c r="I29" s="13"/>
      <c r="J29" s="13"/>
    </row>
    <row r="30" spans="1:11" x14ac:dyDescent="0.25">
      <c r="B30" s="17"/>
      <c r="C30" s="17"/>
      <c r="D30" s="17"/>
      <c r="E30" s="13"/>
      <c r="F30" s="13"/>
      <c r="G30" s="13"/>
      <c r="H30" s="13"/>
      <c r="I30" s="13"/>
      <c r="J30" s="13"/>
    </row>
    <row r="31" spans="1:11" x14ac:dyDescent="0.25">
      <c r="B31" s="17"/>
      <c r="C31" s="17"/>
      <c r="D31" s="17"/>
      <c r="E31" s="13"/>
      <c r="F31" s="13"/>
      <c r="G31" s="13"/>
      <c r="H31" s="13"/>
      <c r="I31" s="13"/>
      <c r="J31" s="13"/>
    </row>
    <row r="32" spans="1:11" x14ac:dyDescent="0.25">
      <c r="A32" s="16" t="s">
        <v>55</v>
      </c>
      <c r="E32" s="13"/>
      <c r="F32" s="13"/>
      <c r="G32" s="13"/>
      <c r="H32" s="13"/>
      <c r="I32" s="13"/>
      <c r="J32" s="13"/>
    </row>
    <row r="33" spans="1:19" x14ac:dyDescent="0.25">
      <c r="B33" s="360"/>
      <c r="C33" s="361"/>
      <c r="D33" s="361"/>
      <c r="E33" s="362"/>
      <c r="F33" s="13"/>
      <c r="G33" s="13"/>
      <c r="H33" s="13"/>
      <c r="I33" s="13"/>
      <c r="J33" s="13"/>
      <c r="K33" s="84"/>
      <c r="M33" s="84"/>
    </row>
    <row r="34" spans="1:19" ht="17.25" x14ac:dyDescent="0.25">
      <c r="B34" s="3"/>
      <c r="C34" s="3"/>
      <c r="D34" s="3"/>
      <c r="E34" s="13"/>
      <c r="F34" s="13"/>
      <c r="G34" s="13"/>
      <c r="H34" s="13"/>
      <c r="I34" s="13"/>
      <c r="J34" s="13"/>
    </row>
    <row r="35" spans="1:19" x14ac:dyDescent="0.25">
      <c r="A35" s="7" t="s">
        <v>56</v>
      </c>
    </row>
    <row r="37" spans="1:19" ht="68.25" customHeight="1" x14ac:dyDescent="0.25">
      <c r="B37" s="363" t="s">
        <v>95</v>
      </c>
      <c r="C37" s="4" t="s">
        <v>96</v>
      </c>
      <c r="D37" s="4" t="s">
        <v>97</v>
      </c>
      <c r="E37" s="358" t="s">
        <v>98</v>
      </c>
      <c r="F37" s="358"/>
      <c r="G37" s="358"/>
      <c r="H37" s="358" t="s">
        <v>99</v>
      </c>
      <c r="I37" s="358"/>
      <c r="J37" s="358"/>
      <c r="K37" s="358" t="s">
        <v>100</v>
      </c>
      <c r="L37" s="358"/>
      <c r="M37" s="358"/>
      <c r="N37" s="358" t="s">
        <v>101</v>
      </c>
      <c r="O37" s="358"/>
      <c r="P37" s="358"/>
      <c r="Q37" s="359" t="s">
        <v>102</v>
      </c>
      <c r="R37" s="359"/>
      <c r="S37" s="359"/>
    </row>
    <row r="38" spans="1:19" ht="30" customHeight="1" x14ac:dyDescent="0.25">
      <c r="B38" s="363"/>
      <c r="C38" s="4" t="s">
        <v>35</v>
      </c>
      <c r="D38" s="4" t="s">
        <v>36</v>
      </c>
      <c r="E38" s="19" t="s">
        <v>0</v>
      </c>
      <c r="F38" s="19" t="s">
        <v>1</v>
      </c>
      <c r="G38" s="19" t="s">
        <v>3</v>
      </c>
      <c r="H38" s="19" t="s">
        <v>0</v>
      </c>
      <c r="I38" s="19" t="s">
        <v>1</v>
      </c>
      <c r="J38" s="19" t="s">
        <v>3</v>
      </c>
      <c r="K38" s="19" t="s">
        <v>39</v>
      </c>
      <c r="L38" s="19" t="s">
        <v>38</v>
      </c>
      <c r="M38" s="19" t="s">
        <v>37</v>
      </c>
      <c r="N38" s="19" t="s">
        <v>39</v>
      </c>
      <c r="O38" s="19" t="s">
        <v>38</v>
      </c>
      <c r="P38" s="19" t="s">
        <v>37</v>
      </c>
      <c r="Q38" s="26" t="s">
        <v>0</v>
      </c>
      <c r="R38" s="26" t="s">
        <v>1</v>
      </c>
      <c r="S38" s="26" t="s">
        <v>3</v>
      </c>
    </row>
    <row r="39" spans="1:19" ht="20.25" customHeight="1" x14ac:dyDescent="0.25">
      <c r="B39" s="46" t="s">
        <v>362</v>
      </c>
      <c r="C39" s="51">
        <v>18213.03</v>
      </c>
      <c r="D39" s="51">
        <v>15914.787</v>
      </c>
      <c r="E39" s="23"/>
      <c r="F39" s="23"/>
      <c r="G39" s="23"/>
      <c r="H39" s="22">
        <v>499.4</v>
      </c>
      <c r="I39" s="22">
        <v>499.4</v>
      </c>
      <c r="J39" s="22">
        <v>499.4</v>
      </c>
      <c r="K39" s="159">
        <f>C39+E39+H39</f>
        <v>18712.43</v>
      </c>
      <c r="L39" s="52">
        <f>C39+F39+I39</f>
        <v>18712.43</v>
      </c>
      <c r="M39" s="52">
        <f>C39+G39+J39</f>
        <v>18712.43</v>
      </c>
      <c r="N39" s="23"/>
      <c r="O39" s="23"/>
      <c r="P39" s="23"/>
      <c r="Q39" s="70">
        <f t="shared" ref="Q39:S43" si="0">K39+N39</f>
        <v>18712.43</v>
      </c>
      <c r="R39" s="70">
        <f t="shared" si="0"/>
        <v>18712.43</v>
      </c>
      <c r="S39" s="70">
        <f t="shared" si="0"/>
        <v>18712.43</v>
      </c>
    </row>
    <row r="40" spans="1:19" ht="21" customHeight="1" x14ac:dyDescent="0.25">
      <c r="B40" s="46" t="s">
        <v>365</v>
      </c>
      <c r="C40" s="51">
        <v>1435.5</v>
      </c>
      <c r="D40" s="51">
        <v>1732.5</v>
      </c>
      <c r="E40" s="22">
        <v>297</v>
      </c>
      <c r="F40" s="22">
        <v>297</v>
      </c>
      <c r="G40" s="22">
        <v>297</v>
      </c>
      <c r="H40" s="22">
        <v>313.2</v>
      </c>
      <c r="I40" s="22">
        <v>313.2</v>
      </c>
      <c r="J40" s="22">
        <v>313.2</v>
      </c>
      <c r="K40" s="159">
        <f>C40+E40+H40</f>
        <v>2045.7</v>
      </c>
      <c r="L40" s="52">
        <f>C40+F40+I40</f>
        <v>2045.7</v>
      </c>
      <c r="M40" s="52">
        <f>C40+G40+J40</f>
        <v>2045.7</v>
      </c>
      <c r="N40" s="23"/>
      <c r="O40" s="23"/>
      <c r="P40" s="23"/>
      <c r="Q40" s="70">
        <f t="shared" si="0"/>
        <v>2045.7</v>
      </c>
      <c r="R40" s="70">
        <f t="shared" si="0"/>
        <v>2045.7</v>
      </c>
      <c r="S40" s="70">
        <f t="shared" si="0"/>
        <v>2045.7</v>
      </c>
    </row>
    <row r="41" spans="1:19" ht="27" x14ac:dyDescent="0.25">
      <c r="B41" s="158" t="s">
        <v>367</v>
      </c>
      <c r="C41" s="51">
        <v>0</v>
      </c>
      <c r="D41" s="51">
        <v>1450.8</v>
      </c>
      <c r="E41" s="23"/>
      <c r="F41" s="23"/>
      <c r="G41" s="23"/>
      <c r="H41" s="22">
        <v>4355</v>
      </c>
      <c r="I41" s="22">
        <v>4355</v>
      </c>
      <c r="J41" s="22">
        <v>4355</v>
      </c>
      <c r="K41" s="159">
        <f>C41+E41+H41</f>
        <v>4355</v>
      </c>
      <c r="L41" s="52">
        <f t="shared" ref="K41:M43" si="1">D41+F41+I41</f>
        <v>5805.8</v>
      </c>
      <c r="M41" s="52">
        <f t="shared" si="1"/>
        <v>4355</v>
      </c>
      <c r="N41" s="23"/>
      <c r="O41" s="23"/>
      <c r="P41" s="23"/>
      <c r="Q41" s="70">
        <f t="shared" si="0"/>
        <v>4355</v>
      </c>
      <c r="R41" s="70">
        <f t="shared" si="0"/>
        <v>5805.8</v>
      </c>
      <c r="S41" s="70">
        <f t="shared" si="0"/>
        <v>4355</v>
      </c>
    </row>
    <row r="42" spans="1:19" ht="27" x14ac:dyDescent="0.25">
      <c r="B42" s="158" t="s">
        <v>369</v>
      </c>
      <c r="C42" s="51">
        <v>0</v>
      </c>
      <c r="D42" s="51">
        <v>538.20000000000005</v>
      </c>
      <c r="E42" s="23"/>
      <c r="F42" s="23"/>
      <c r="G42" s="23"/>
      <c r="H42" s="22">
        <v>1617.2</v>
      </c>
      <c r="I42" s="22">
        <v>1617.2</v>
      </c>
      <c r="J42" s="22">
        <v>1617.2</v>
      </c>
      <c r="K42" s="159">
        <f t="shared" si="1"/>
        <v>1617.2</v>
      </c>
      <c r="L42" s="52">
        <f t="shared" si="1"/>
        <v>2155.4</v>
      </c>
      <c r="M42" s="52">
        <f t="shared" si="1"/>
        <v>1617.2</v>
      </c>
      <c r="N42" s="23"/>
      <c r="O42" s="23"/>
      <c r="P42" s="23"/>
      <c r="Q42" s="70">
        <f t="shared" si="0"/>
        <v>1617.2</v>
      </c>
      <c r="R42" s="70">
        <f t="shared" si="0"/>
        <v>2155.4</v>
      </c>
      <c r="S42" s="70">
        <f t="shared" si="0"/>
        <v>1617.2</v>
      </c>
    </row>
    <row r="43" spans="1:19" ht="27" x14ac:dyDescent="0.25">
      <c r="B43" s="158" t="s">
        <v>370</v>
      </c>
      <c r="C43" s="51">
        <v>0</v>
      </c>
      <c r="D43" s="51">
        <v>882</v>
      </c>
      <c r="E43" s="23"/>
      <c r="F43" s="23"/>
      <c r="G43" s="23"/>
      <c r="H43" s="22">
        <v>2646</v>
      </c>
      <c r="I43" s="22">
        <v>2646</v>
      </c>
      <c r="J43" s="22">
        <v>2646</v>
      </c>
      <c r="K43" s="159">
        <f t="shared" si="1"/>
        <v>2646</v>
      </c>
      <c r="L43" s="52">
        <f t="shared" si="1"/>
        <v>3528</v>
      </c>
      <c r="M43" s="52">
        <f t="shared" si="1"/>
        <v>2646</v>
      </c>
      <c r="N43" s="23"/>
      <c r="O43" s="23"/>
      <c r="P43" s="23"/>
      <c r="Q43" s="70">
        <f t="shared" si="0"/>
        <v>2646</v>
      </c>
      <c r="R43" s="70">
        <f t="shared" si="0"/>
        <v>3528</v>
      </c>
      <c r="S43" s="70">
        <f t="shared" si="0"/>
        <v>2646</v>
      </c>
    </row>
    <row r="44" spans="1:19" ht="28.5" x14ac:dyDescent="0.25">
      <c r="B44" s="18" t="s">
        <v>73</v>
      </c>
      <c r="C44" s="51">
        <f>C39+C40+C41+C42+C43</f>
        <v>19648.53</v>
      </c>
      <c r="D44" s="51">
        <f>D39+D40+D41+D42+D43</f>
        <v>20518.287</v>
      </c>
      <c r="E44" s="19">
        <f>SUM(E39:E43)</f>
        <v>297</v>
      </c>
      <c r="F44" s="19">
        <f t="shared" ref="F44:G44" si="2">SUM(F39:F43)</f>
        <v>297</v>
      </c>
      <c r="G44" s="19">
        <f t="shared" si="2"/>
        <v>297</v>
      </c>
      <c r="H44" s="78">
        <f>SUM(H39:H43)</f>
        <v>9430.7999999999993</v>
      </c>
      <c r="I44" s="78">
        <f>SUM(I39:I43)</f>
        <v>9430.7999999999993</v>
      </c>
      <c r="J44" s="78">
        <f>SUM(J39:J43)</f>
        <v>9430.7999999999993</v>
      </c>
      <c r="K44" s="159">
        <f>C44+E44+H44</f>
        <v>29376.329999999998</v>
      </c>
      <c r="L44" s="52">
        <f>C44+F44+I44</f>
        <v>29376.329999999998</v>
      </c>
      <c r="M44" s="52">
        <f>C44+G44+J44</f>
        <v>29376.329999999998</v>
      </c>
      <c r="N44" s="4" t="s">
        <v>2</v>
      </c>
      <c r="O44" s="4" t="s">
        <v>2</v>
      </c>
      <c r="P44" s="4" t="s">
        <v>2</v>
      </c>
      <c r="Q44" s="70" t="s">
        <v>2</v>
      </c>
      <c r="R44" s="70" t="s">
        <v>2</v>
      </c>
      <c r="S44" s="70" t="s">
        <v>2</v>
      </c>
    </row>
    <row r="45" spans="1:19" ht="28.5" x14ac:dyDescent="0.25">
      <c r="B45" s="18" t="s">
        <v>60</v>
      </c>
      <c r="C45" s="51"/>
      <c r="D45" s="51"/>
      <c r="E45" s="19" t="s">
        <v>72</v>
      </c>
      <c r="F45" s="19" t="s">
        <v>72</v>
      </c>
      <c r="G45" s="19" t="s">
        <v>72</v>
      </c>
      <c r="H45" s="19" t="s">
        <v>72</v>
      </c>
      <c r="I45" s="19" t="s">
        <v>72</v>
      </c>
      <c r="J45" s="19" t="s">
        <v>72</v>
      </c>
      <c r="K45" s="19">
        <f>C45</f>
        <v>0</v>
      </c>
      <c r="L45" s="52">
        <f>C45</f>
        <v>0</v>
      </c>
      <c r="M45" s="52">
        <f>C45</f>
        <v>0</v>
      </c>
      <c r="N45" s="4" t="s">
        <v>2</v>
      </c>
      <c r="O45" s="4" t="s">
        <v>2</v>
      </c>
      <c r="P45" s="4" t="s">
        <v>2</v>
      </c>
      <c r="Q45" s="70" t="s">
        <v>2</v>
      </c>
      <c r="R45" s="70" t="s">
        <v>2</v>
      </c>
      <c r="S45" s="70" t="s">
        <v>2</v>
      </c>
    </row>
    <row r="46" spans="1:19" s="199" customFormat="1" ht="21" customHeight="1" x14ac:dyDescent="0.25">
      <c r="B46" s="246" t="s">
        <v>698</v>
      </c>
      <c r="C46" s="259">
        <f>SUM(C39:C43)</f>
        <v>19648.53</v>
      </c>
      <c r="D46" s="259">
        <f>SUM(D39:D43)</f>
        <v>20518.287</v>
      </c>
      <c r="E46" s="255">
        <f>E44</f>
        <v>297</v>
      </c>
      <c r="F46" s="255">
        <f t="shared" ref="F46:J46" si="3">F44</f>
        <v>297</v>
      </c>
      <c r="G46" s="255">
        <f t="shared" si="3"/>
        <v>297</v>
      </c>
      <c r="H46" s="255">
        <f>H44</f>
        <v>9430.7999999999993</v>
      </c>
      <c r="I46" s="255">
        <f t="shared" si="3"/>
        <v>9430.7999999999993</v>
      </c>
      <c r="J46" s="255">
        <f t="shared" si="3"/>
        <v>9430.7999999999993</v>
      </c>
      <c r="K46" s="291">
        <f>K44+K45</f>
        <v>29376.329999999998</v>
      </c>
      <c r="L46" s="260">
        <f t="shared" ref="L46:M46" si="4">L44+L45</f>
        <v>29376.329999999998</v>
      </c>
      <c r="M46" s="260">
        <f t="shared" si="4"/>
        <v>29376.329999999998</v>
      </c>
      <c r="N46" s="256">
        <f>SUM(N39:N43)</f>
        <v>0</v>
      </c>
      <c r="O46" s="256">
        <f t="shared" ref="O46:P46" si="5">SUM(O39:O43)</f>
        <v>0</v>
      </c>
      <c r="P46" s="256">
        <f t="shared" si="5"/>
        <v>0</v>
      </c>
      <c r="Q46" s="263">
        <f>K46+N46</f>
        <v>29376.329999999998</v>
      </c>
      <c r="R46" s="263">
        <f>L46+O46</f>
        <v>29376.329999999998</v>
      </c>
      <c r="S46" s="263">
        <f>M46+P46</f>
        <v>29376.329999999998</v>
      </c>
    </row>
    <row r="48" spans="1:19" x14ac:dyDescent="0.25">
      <c r="K48" s="301">
        <v>29997.9</v>
      </c>
    </row>
    <row r="72" spans="2:3" x14ac:dyDescent="0.25">
      <c r="B72" t="s">
        <v>708</v>
      </c>
      <c r="C72" t="s">
        <v>709</v>
      </c>
    </row>
  </sheetData>
  <mergeCells count="13">
    <mergeCell ref="K17:K18"/>
    <mergeCell ref="B17:B18"/>
    <mergeCell ref="C17:C18"/>
    <mergeCell ref="D17:D18"/>
    <mergeCell ref="E17:E18"/>
    <mergeCell ref="F17:J17"/>
    <mergeCell ref="Q37:S37"/>
    <mergeCell ref="B33:E33"/>
    <mergeCell ref="B37:B38"/>
    <mergeCell ref="E37:G37"/>
    <mergeCell ref="H37:J37"/>
    <mergeCell ref="K37:M37"/>
    <mergeCell ref="N37:P37"/>
  </mergeCells>
  <dataValidations count="4">
    <dataValidation showInputMessage="1" showErrorMessage="1" sqref="E19:E24" xr:uid="{82688448-B150-4DD2-BD19-CD62F1DEAA4B}"/>
    <dataValidation type="list" allowBlank="1" showInputMessage="1" showErrorMessage="1" sqref="D19:D24" xr:uid="{04480C77-FD21-427E-99E5-E35BB29554F5}">
      <formula1>$V$2:$V$3</formula1>
    </dataValidation>
    <dataValidation type="list" allowBlank="1" showInputMessage="1" showErrorMessage="1" sqref="B13" xr:uid="{D2BAFDC6-1B00-4110-9995-476856808399}">
      <formula1>$U$2:$U$4</formula1>
    </dataValidation>
    <dataValidation type="custom" allowBlank="1" showInputMessage="1" showErrorMessage="1" sqref="N39:P43" xr:uid="{C8F20806-61B9-4E7D-B7A0-5DFAB8368B45}">
      <formula1>"-"</formula1>
    </dataValidation>
  </dataValidations>
  <hyperlinks>
    <hyperlink ref="C12" location="_ftn1" display="_ftn1" xr:uid="{59C94A88-B3FA-4D60-81FE-1C9087A32876}"/>
    <hyperlink ref="D12" location="_ftn2" display="_ftn2" xr:uid="{7ABDDF49-63B7-44F2-8024-591CDB97220A}"/>
    <hyperlink ref="E12" location="_ftn3" display="_ftn3" xr:uid="{60A05576-68D6-4A21-8AC0-A44053C3A088}"/>
  </hyperlinks>
  <pageMargins left="0.7" right="0.7" top="0.75" bottom="0.75" header="0.3" footer="0.3"/>
  <pageSetup scale="5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1</xdr:col>
                    <xdr:colOff>85725</xdr:colOff>
                    <xdr:row>29</xdr:row>
                    <xdr:rowOff>0</xdr:rowOff>
                  </from>
                  <to>
                    <xdr:col>2</xdr:col>
                    <xdr:colOff>1171575</xdr:colOff>
                    <xdr:row>30</xdr:row>
                    <xdr:rowOff>38100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xdr:col>
                    <xdr:colOff>85725</xdr:colOff>
                    <xdr:row>28</xdr:row>
                    <xdr:rowOff>28575</xdr:rowOff>
                  </from>
                  <to>
                    <xdr:col>2</xdr:col>
                    <xdr:colOff>1924050</xdr:colOff>
                    <xdr:row>29</xdr:row>
                    <xdr:rowOff>9525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1</xdr:col>
                    <xdr:colOff>95250</xdr:colOff>
                    <xdr:row>30</xdr:row>
                    <xdr:rowOff>9525</xdr:rowOff>
                  </from>
                  <to>
                    <xdr:col>2</xdr:col>
                    <xdr:colOff>571500</xdr:colOff>
                    <xdr:row>31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91"/>
  <sheetViews>
    <sheetView topLeftCell="A79" zoomScale="95" zoomScaleNormal="95" workbookViewId="0">
      <selection activeCell="S87" sqref="C87:S87"/>
    </sheetView>
  </sheetViews>
  <sheetFormatPr defaultRowHeight="15" x14ac:dyDescent="0.25"/>
  <cols>
    <col min="1" max="1" width="6" customWidth="1"/>
    <col min="2" max="2" width="33.140625" customWidth="1"/>
    <col min="3" max="3" width="25.28515625" customWidth="1"/>
    <col min="4" max="4" width="28.42578125" customWidth="1"/>
    <col min="5" max="5" width="22.85546875" customWidth="1"/>
    <col min="6" max="6" width="17.5703125" customWidth="1"/>
    <col min="7" max="7" width="17.28515625" customWidth="1"/>
    <col min="8" max="8" width="11" bestFit="1" customWidth="1"/>
    <col min="9" max="9" width="11.140625" bestFit="1" customWidth="1"/>
    <col min="10" max="10" width="13.85546875" customWidth="1"/>
    <col min="11" max="11" width="39" customWidth="1"/>
    <col min="12" max="13" width="10.85546875" bestFit="1" customWidth="1"/>
    <col min="14" max="14" width="9.5703125" customWidth="1"/>
    <col min="15" max="15" width="8.140625" customWidth="1"/>
    <col min="16" max="16" width="8" customWidth="1"/>
    <col min="17" max="17" width="12.140625" bestFit="1" customWidth="1"/>
    <col min="18" max="19" width="11.7109375"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33" customHeight="1" x14ac:dyDescent="0.25">
      <c r="B5" s="25" t="s">
        <v>79</v>
      </c>
      <c r="C5" s="20">
        <v>1022</v>
      </c>
      <c r="E5" s="25" t="s">
        <v>83</v>
      </c>
      <c r="F5" s="20"/>
      <c r="H5" s="3"/>
      <c r="I5" s="3"/>
      <c r="J5" s="3"/>
    </row>
    <row r="6" spans="1:23" ht="36.75" customHeight="1" x14ac:dyDescent="0.25">
      <c r="B6" s="25" t="s">
        <v>80</v>
      </c>
      <c r="C6" s="29" t="s">
        <v>147</v>
      </c>
      <c r="E6" s="25" t="s">
        <v>84</v>
      </c>
      <c r="F6" s="20"/>
      <c r="H6" s="3"/>
      <c r="I6" s="3"/>
      <c r="J6" s="3"/>
    </row>
    <row r="7" spans="1:23" ht="18" customHeight="1" x14ac:dyDescent="0.25">
      <c r="B7" s="25" t="s">
        <v>81</v>
      </c>
      <c r="C7" s="20">
        <v>11001</v>
      </c>
      <c r="H7" s="3"/>
      <c r="I7" s="3"/>
      <c r="J7" s="3"/>
    </row>
    <row r="8" spans="1:23" ht="139.5" customHeight="1" x14ac:dyDescent="0.25">
      <c r="B8" s="25" t="s">
        <v>82</v>
      </c>
      <c r="C8" s="29" t="s">
        <v>148</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69" x14ac:dyDescent="0.25">
      <c r="B12" s="10" t="s">
        <v>85</v>
      </c>
      <c r="C12" s="28" t="s">
        <v>86</v>
      </c>
      <c r="D12" s="28" t="s">
        <v>87</v>
      </c>
      <c r="E12" s="28" t="s">
        <v>88</v>
      </c>
      <c r="F12" s="3"/>
      <c r="G12" s="3"/>
      <c r="H12" s="3"/>
      <c r="I12" s="3"/>
      <c r="J12" s="3"/>
    </row>
    <row r="13" spans="1:23" ht="81.75" x14ac:dyDescent="0.3">
      <c r="B13" s="140" t="s">
        <v>48</v>
      </c>
      <c r="C13" s="141" t="s">
        <v>149</v>
      </c>
      <c r="D13" s="142"/>
      <c r="E13" s="143" t="s">
        <v>150</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2:11" ht="21.75" customHeight="1" x14ac:dyDescent="0.25">
      <c r="B17" s="365" t="s">
        <v>89</v>
      </c>
      <c r="C17" s="365" t="s">
        <v>90</v>
      </c>
      <c r="D17" s="365" t="s">
        <v>91</v>
      </c>
      <c r="E17" s="365" t="s">
        <v>92</v>
      </c>
      <c r="F17" s="364" t="s">
        <v>93</v>
      </c>
      <c r="G17" s="364"/>
      <c r="H17" s="364"/>
      <c r="I17" s="364"/>
      <c r="J17" s="364"/>
      <c r="K17" s="364" t="s">
        <v>94</v>
      </c>
    </row>
    <row r="18" spans="2:11" ht="30" customHeight="1" x14ac:dyDescent="0.25">
      <c r="B18" s="365"/>
      <c r="C18" s="365"/>
      <c r="D18" s="365"/>
      <c r="E18" s="365"/>
      <c r="F18" s="27" t="s">
        <v>51</v>
      </c>
      <c r="G18" s="27" t="s">
        <v>52</v>
      </c>
      <c r="H18" s="27" t="s">
        <v>0</v>
      </c>
      <c r="I18" s="27" t="s">
        <v>1</v>
      </c>
      <c r="J18" s="27" t="s">
        <v>3</v>
      </c>
      <c r="K18" s="364"/>
    </row>
    <row r="19" spans="2:11" ht="47.25" customHeight="1" x14ac:dyDescent="0.25">
      <c r="B19" s="22" t="s">
        <v>340</v>
      </c>
      <c r="C19" s="21" t="s">
        <v>152</v>
      </c>
      <c r="D19" s="21" t="s">
        <v>47</v>
      </c>
      <c r="E19" s="21" t="s">
        <v>341</v>
      </c>
      <c r="F19" s="47">
        <v>18</v>
      </c>
      <c r="G19" s="48">
        <v>18</v>
      </c>
      <c r="H19" s="48">
        <v>28</v>
      </c>
      <c r="I19" s="21">
        <v>20</v>
      </c>
      <c r="J19" s="21">
        <f>I19</f>
        <v>20</v>
      </c>
      <c r="K19" s="49" t="s">
        <v>342</v>
      </c>
    </row>
    <row r="20" spans="2:11" ht="99" customHeight="1" x14ac:dyDescent="0.25">
      <c r="B20" s="44" t="s">
        <v>157</v>
      </c>
      <c r="C20" s="21" t="s">
        <v>152</v>
      </c>
      <c r="D20" s="21" t="s">
        <v>47</v>
      </c>
      <c r="E20" s="21" t="s">
        <v>341</v>
      </c>
      <c r="F20" s="47">
        <v>0</v>
      </c>
      <c r="G20" s="50">
        <v>0</v>
      </c>
      <c r="H20" s="50">
        <v>60</v>
      </c>
      <c r="I20" s="21">
        <f t="shared" ref="I20:J37" si="0">H20</f>
        <v>60</v>
      </c>
      <c r="J20" s="21">
        <f t="shared" si="0"/>
        <v>60</v>
      </c>
      <c r="K20" s="49" t="s">
        <v>343</v>
      </c>
    </row>
    <row r="21" spans="2:11" ht="85.5" customHeight="1" x14ac:dyDescent="0.25">
      <c r="B21" s="44" t="s">
        <v>158</v>
      </c>
      <c r="C21" s="21" t="s">
        <v>152</v>
      </c>
      <c r="D21" s="21" t="s">
        <v>47</v>
      </c>
      <c r="E21" s="21" t="s">
        <v>341</v>
      </c>
      <c r="F21" s="47">
        <v>0</v>
      </c>
      <c r="G21" s="50">
        <v>0</v>
      </c>
      <c r="H21" s="50">
        <v>12</v>
      </c>
      <c r="I21" s="21">
        <f t="shared" si="0"/>
        <v>12</v>
      </c>
      <c r="J21" s="21">
        <f t="shared" si="0"/>
        <v>12</v>
      </c>
      <c r="K21" s="49" t="s">
        <v>344</v>
      </c>
    </row>
    <row r="22" spans="2:11" ht="114" customHeight="1" x14ac:dyDescent="0.25">
      <c r="B22" s="44" t="s">
        <v>159</v>
      </c>
      <c r="C22" s="21" t="s">
        <v>152</v>
      </c>
      <c r="D22" s="21" t="s">
        <v>47</v>
      </c>
      <c r="E22" s="21" t="s">
        <v>341</v>
      </c>
      <c r="F22" s="47">
        <v>3</v>
      </c>
      <c r="G22" s="50">
        <v>2</v>
      </c>
      <c r="H22" s="50">
        <v>5</v>
      </c>
      <c r="I22" s="21">
        <f t="shared" si="0"/>
        <v>5</v>
      </c>
      <c r="J22" s="21">
        <f t="shared" si="0"/>
        <v>5</v>
      </c>
      <c r="K22" s="49" t="s">
        <v>343</v>
      </c>
    </row>
    <row r="23" spans="2:11" ht="42" customHeight="1" x14ac:dyDescent="0.25">
      <c r="B23" s="44" t="s">
        <v>160</v>
      </c>
      <c r="C23" s="21" t="s">
        <v>152</v>
      </c>
      <c r="D23" s="21" t="s">
        <v>47</v>
      </c>
      <c r="E23" s="21" t="s">
        <v>341</v>
      </c>
      <c r="F23" s="47">
        <v>3</v>
      </c>
      <c r="G23" s="50">
        <v>3</v>
      </c>
      <c r="H23" s="50">
        <v>8</v>
      </c>
      <c r="I23" s="21">
        <f t="shared" si="0"/>
        <v>8</v>
      </c>
      <c r="J23" s="21">
        <f t="shared" si="0"/>
        <v>8</v>
      </c>
      <c r="K23" s="49" t="s">
        <v>345</v>
      </c>
    </row>
    <row r="24" spans="2:11" ht="55.5" customHeight="1" x14ac:dyDescent="0.25">
      <c r="B24" s="44" t="s">
        <v>161</v>
      </c>
      <c r="C24" s="21" t="s">
        <v>152</v>
      </c>
      <c r="D24" s="21" t="s">
        <v>47</v>
      </c>
      <c r="E24" s="21" t="s">
        <v>341</v>
      </c>
      <c r="F24" s="47">
        <v>3</v>
      </c>
      <c r="G24" s="50">
        <v>2</v>
      </c>
      <c r="H24" s="50">
        <v>50</v>
      </c>
      <c r="I24" s="21">
        <f t="shared" si="0"/>
        <v>50</v>
      </c>
      <c r="J24" s="21">
        <f t="shared" si="0"/>
        <v>50</v>
      </c>
      <c r="K24" s="49" t="s">
        <v>346</v>
      </c>
    </row>
    <row r="25" spans="2:11" ht="66" customHeight="1" x14ac:dyDescent="0.25">
      <c r="B25" s="44" t="s">
        <v>162</v>
      </c>
      <c r="C25" s="21" t="s">
        <v>152</v>
      </c>
      <c r="D25" s="21" t="s">
        <v>47</v>
      </c>
      <c r="E25" s="21" t="s">
        <v>341</v>
      </c>
      <c r="F25" s="47">
        <v>0</v>
      </c>
      <c r="G25" s="50">
        <v>0</v>
      </c>
      <c r="H25" s="50">
        <v>50</v>
      </c>
      <c r="I25" s="21">
        <f t="shared" si="0"/>
        <v>50</v>
      </c>
      <c r="J25" s="21">
        <f t="shared" si="0"/>
        <v>50</v>
      </c>
      <c r="K25" s="49" t="s">
        <v>347</v>
      </c>
    </row>
    <row r="26" spans="2:11" ht="105" customHeight="1" x14ac:dyDescent="0.25">
      <c r="B26" s="44" t="s">
        <v>163</v>
      </c>
      <c r="C26" s="21" t="s">
        <v>152</v>
      </c>
      <c r="D26" s="21" t="s">
        <v>47</v>
      </c>
      <c r="E26" s="21" t="s">
        <v>341</v>
      </c>
      <c r="F26" s="47">
        <v>2</v>
      </c>
      <c r="G26" s="50">
        <v>0</v>
      </c>
      <c r="H26" s="50">
        <v>12</v>
      </c>
      <c r="I26" s="21">
        <f t="shared" si="0"/>
        <v>12</v>
      </c>
      <c r="J26" s="21">
        <f t="shared" si="0"/>
        <v>12</v>
      </c>
      <c r="K26" s="49" t="s">
        <v>343</v>
      </c>
    </row>
    <row r="27" spans="2:11" ht="43.5" customHeight="1" x14ac:dyDescent="0.25">
      <c r="B27" s="44" t="s">
        <v>164</v>
      </c>
      <c r="C27" s="21" t="s">
        <v>152</v>
      </c>
      <c r="D27" s="21" t="s">
        <v>47</v>
      </c>
      <c r="E27" s="21" t="s">
        <v>341</v>
      </c>
      <c r="F27" s="47">
        <v>1</v>
      </c>
      <c r="G27" s="50">
        <v>0</v>
      </c>
      <c r="H27" s="50">
        <v>5</v>
      </c>
      <c r="I27" s="21">
        <f t="shared" si="0"/>
        <v>5</v>
      </c>
      <c r="J27" s="21">
        <f t="shared" si="0"/>
        <v>5</v>
      </c>
      <c r="K27" s="49" t="s">
        <v>348</v>
      </c>
    </row>
    <row r="28" spans="2:11" ht="104.25" customHeight="1" x14ac:dyDescent="0.25">
      <c r="B28" s="44" t="s">
        <v>165</v>
      </c>
      <c r="C28" s="21" t="s">
        <v>152</v>
      </c>
      <c r="D28" s="21" t="s">
        <v>47</v>
      </c>
      <c r="E28" s="21" t="s">
        <v>341</v>
      </c>
      <c r="F28" s="47">
        <v>0</v>
      </c>
      <c r="G28" s="50">
        <v>0</v>
      </c>
      <c r="H28" s="50">
        <v>5</v>
      </c>
      <c r="I28" s="21">
        <f t="shared" si="0"/>
        <v>5</v>
      </c>
      <c r="J28" s="21">
        <f t="shared" si="0"/>
        <v>5</v>
      </c>
      <c r="K28" s="49" t="s">
        <v>343</v>
      </c>
    </row>
    <row r="29" spans="2:11" ht="64.5" customHeight="1" x14ac:dyDescent="0.25">
      <c r="B29" s="44" t="s">
        <v>166</v>
      </c>
      <c r="C29" s="21" t="s">
        <v>152</v>
      </c>
      <c r="D29" s="21" t="s">
        <v>47</v>
      </c>
      <c r="E29" s="21" t="s">
        <v>341</v>
      </c>
      <c r="F29" s="47">
        <v>2</v>
      </c>
      <c r="G29" s="50">
        <v>0</v>
      </c>
      <c r="H29" s="50">
        <v>12</v>
      </c>
      <c r="I29" s="21">
        <f t="shared" si="0"/>
        <v>12</v>
      </c>
      <c r="J29" s="21">
        <f t="shared" si="0"/>
        <v>12</v>
      </c>
      <c r="K29" s="49" t="s">
        <v>349</v>
      </c>
    </row>
    <row r="30" spans="2:11" ht="108" customHeight="1" x14ac:dyDescent="0.25">
      <c r="B30" s="44" t="s">
        <v>167</v>
      </c>
      <c r="C30" s="21" t="s">
        <v>152</v>
      </c>
      <c r="D30" s="21" t="s">
        <v>47</v>
      </c>
      <c r="E30" s="21" t="s">
        <v>341</v>
      </c>
      <c r="F30" s="47">
        <v>1</v>
      </c>
      <c r="G30" s="50">
        <v>0</v>
      </c>
      <c r="H30" s="50">
        <v>1</v>
      </c>
      <c r="I30" s="21">
        <f t="shared" si="0"/>
        <v>1</v>
      </c>
      <c r="J30" s="21">
        <f t="shared" si="0"/>
        <v>1</v>
      </c>
      <c r="K30" s="49" t="s">
        <v>350</v>
      </c>
    </row>
    <row r="31" spans="2:11" ht="102" customHeight="1" x14ac:dyDescent="0.25">
      <c r="B31" s="44" t="s">
        <v>169</v>
      </c>
      <c r="C31" s="21" t="s">
        <v>152</v>
      </c>
      <c r="D31" s="21" t="s">
        <v>47</v>
      </c>
      <c r="E31" s="21" t="s">
        <v>341</v>
      </c>
      <c r="F31" s="47">
        <v>0</v>
      </c>
      <c r="G31" s="50">
        <v>0</v>
      </c>
      <c r="H31" s="50">
        <v>12</v>
      </c>
      <c r="I31" s="21">
        <f t="shared" si="0"/>
        <v>12</v>
      </c>
      <c r="J31" s="21">
        <f t="shared" si="0"/>
        <v>12</v>
      </c>
      <c r="K31" s="49" t="s">
        <v>343</v>
      </c>
    </row>
    <row r="32" spans="2:11" ht="43.5" customHeight="1" x14ac:dyDescent="0.25">
      <c r="B32" s="44" t="s">
        <v>170</v>
      </c>
      <c r="C32" s="21" t="s">
        <v>152</v>
      </c>
      <c r="D32" s="21" t="s">
        <v>47</v>
      </c>
      <c r="E32" s="21" t="s">
        <v>341</v>
      </c>
      <c r="F32" s="47">
        <v>0</v>
      </c>
      <c r="G32" s="50">
        <v>0</v>
      </c>
      <c r="H32" s="50">
        <v>1</v>
      </c>
      <c r="I32" s="21">
        <f t="shared" si="0"/>
        <v>1</v>
      </c>
      <c r="J32" s="21">
        <f t="shared" si="0"/>
        <v>1</v>
      </c>
      <c r="K32" s="49" t="s">
        <v>351</v>
      </c>
    </row>
    <row r="33" spans="1:11" ht="69" customHeight="1" x14ac:dyDescent="0.25">
      <c r="B33" s="44" t="s">
        <v>171</v>
      </c>
      <c r="C33" s="21" t="s">
        <v>152</v>
      </c>
      <c r="D33" s="21" t="s">
        <v>47</v>
      </c>
      <c r="E33" s="21" t="s">
        <v>341</v>
      </c>
      <c r="F33" s="47">
        <v>0</v>
      </c>
      <c r="G33" s="50">
        <v>0</v>
      </c>
      <c r="H33" s="50">
        <v>1</v>
      </c>
      <c r="I33" s="21">
        <f t="shared" si="0"/>
        <v>1</v>
      </c>
      <c r="J33" s="21">
        <f t="shared" si="0"/>
        <v>1</v>
      </c>
      <c r="K33" s="49" t="s">
        <v>352</v>
      </c>
    </row>
    <row r="34" spans="1:11" ht="43.5" customHeight="1" x14ac:dyDescent="0.25">
      <c r="B34" s="44" t="s">
        <v>172</v>
      </c>
      <c r="C34" s="21" t="s">
        <v>152</v>
      </c>
      <c r="D34" s="21" t="s">
        <v>47</v>
      </c>
      <c r="E34" s="21" t="s">
        <v>341</v>
      </c>
      <c r="F34" s="47">
        <v>0</v>
      </c>
      <c r="G34" s="50">
        <v>0</v>
      </c>
      <c r="H34" s="50">
        <v>1</v>
      </c>
      <c r="I34" s="21">
        <f t="shared" si="0"/>
        <v>1</v>
      </c>
      <c r="J34" s="21">
        <f t="shared" si="0"/>
        <v>1</v>
      </c>
      <c r="K34" s="49" t="s">
        <v>353</v>
      </c>
    </row>
    <row r="35" spans="1:11" ht="38.25" customHeight="1" x14ac:dyDescent="0.25">
      <c r="B35" s="44" t="s">
        <v>173</v>
      </c>
      <c r="C35" s="21" t="s">
        <v>152</v>
      </c>
      <c r="D35" s="21" t="s">
        <v>47</v>
      </c>
      <c r="E35" s="21" t="s">
        <v>341</v>
      </c>
      <c r="F35" s="47">
        <v>0</v>
      </c>
      <c r="G35" s="50">
        <v>0</v>
      </c>
      <c r="H35" s="50">
        <v>1</v>
      </c>
      <c r="I35" s="21">
        <f t="shared" si="0"/>
        <v>1</v>
      </c>
      <c r="J35" s="21">
        <f t="shared" si="0"/>
        <v>1</v>
      </c>
      <c r="K35" s="49" t="s">
        <v>354</v>
      </c>
    </row>
    <row r="36" spans="1:11" ht="79.5" customHeight="1" x14ac:dyDescent="0.25">
      <c r="B36" s="44" t="s">
        <v>174</v>
      </c>
      <c r="C36" s="21" t="s">
        <v>152</v>
      </c>
      <c r="D36" s="21" t="s">
        <v>47</v>
      </c>
      <c r="E36" s="21" t="s">
        <v>341</v>
      </c>
      <c r="F36" s="47">
        <v>0</v>
      </c>
      <c r="G36" s="50">
        <v>0</v>
      </c>
      <c r="H36" s="50">
        <v>1</v>
      </c>
      <c r="I36" s="21">
        <f t="shared" si="0"/>
        <v>1</v>
      </c>
      <c r="J36" s="21">
        <f t="shared" si="0"/>
        <v>1</v>
      </c>
      <c r="K36" s="49" t="s">
        <v>355</v>
      </c>
    </row>
    <row r="37" spans="1:11" ht="43.5" customHeight="1" x14ac:dyDescent="0.25">
      <c r="B37" s="44" t="s">
        <v>175</v>
      </c>
      <c r="C37" s="21" t="s">
        <v>152</v>
      </c>
      <c r="D37" s="21" t="s">
        <v>47</v>
      </c>
      <c r="E37" s="21" t="s">
        <v>341</v>
      </c>
      <c r="F37" s="47">
        <v>0</v>
      </c>
      <c r="G37" s="50">
        <v>0</v>
      </c>
      <c r="H37" s="50">
        <v>1</v>
      </c>
      <c r="I37" s="21">
        <f t="shared" si="0"/>
        <v>1</v>
      </c>
      <c r="J37" s="21">
        <f t="shared" si="0"/>
        <v>1</v>
      </c>
      <c r="K37" s="49" t="s">
        <v>356</v>
      </c>
    </row>
    <row r="38" spans="1:11" ht="39.75" customHeight="1" x14ac:dyDescent="0.25">
      <c r="B38" t="s">
        <v>177</v>
      </c>
    </row>
    <row r="39" spans="1:11" ht="17.25" x14ac:dyDescent="0.25">
      <c r="B39" s="3"/>
      <c r="C39" s="3"/>
      <c r="D39" s="3"/>
      <c r="E39" s="3"/>
      <c r="F39" s="3"/>
      <c r="G39" s="3"/>
      <c r="H39" s="3"/>
      <c r="I39" s="3"/>
      <c r="J39" s="3"/>
    </row>
    <row r="40" spans="1:11" ht="15.75" x14ac:dyDescent="0.25">
      <c r="A40" s="12" t="s">
        <v>53</v>
      </c>
      <c r="C40" s="13"/>
      <c r="D40" s="13"/>
      <c r="E40" s="13"/>
      <c r="F40" s="13"/>
      <c r="G40" s="13"/>
      <c r="H40" s="13"/>
      <c r="I40" s="13"/>
      <c r="J40" s="13"/>
    </row>
    <row r="41" spans="1:11" x14ac:dyDescent="0.25">
      <c r="A41" s="14"/>
      <c r="C41" s="15"/>
      <c r="D41" s="15"/>
      <c r="E41" s="15"/>
      <c r="F41" s="15"/>
      <c r="G41" s="15"/>
      <c r="H41" s="15"/>
      <c r="I41" s="15"/>
      <c r="J41" s="15"/>
    </row>
    <row r="42" spans="1:11" x14ac:dyDescent="0.25">
      <c r="A42" s="16" t="s">
        <v>54</v>
      </c>
      <c r="C42" s="17"/>
      <c r="D42" s="17"/>
      <c r="E42" s="13"/>
      <c r="F42" s="13"/>
      <c r="G42" s="13"/>
      <c r="H42" s="13"/>
      <c r="I42" s="13"/>
      <c r="J42" s="13"/>
    </row>
    <row r="43" spans="1:11" x14ac:dyDescent="0.25">
      <c r="B43" s="17"/>
      <c r="C43" s="17"/>
      <c r="D43" s="17"/>
      <c r="E43" s="13"/>
      <c r="F43" s="13"/>
      <c r="G43" s="13"/>
      <c r="H43" s="13"/>
      <c r="I43" s="13"/>
      <c r="J43" s="13"/>
    </row>
    <row r="44" spans="1:11" x14ac:dyDescent="0.25">
      <c r="B44" s="17"/>
      <c r="C44" s="17"/>
      <c r="D44" s="17"/>
      <c r="E44" s="13"/>
      <c r="F44" s="13"/>
      <c r="G44" s="13"/>
      <c r="H44" s="13"/>
      <c r="I44" s="13"/>
      <c r="J44" s="13"/>
    </row>
    <row r="45" spans="1:11" x14ac:dyDescent="0.25">
      <c r="B45" s="17"/>
      <c r="C45" s="17"/>
      <c r="D45" s="17"/>
      <c r="E45" s="13"/>
      <c r="F45" s="13"/>
      <c r="G45" s="13"/>
      <c r="H45" s="13"/>
      <c r="I45" s="13"/>
      <c r="J45" s="13"/>
    </row>
    <row r="46" spans="1:11" x14ac:dyDescent="0.25">
      <c r="B46" s="17"/>
      <c r="C46" s="17"/>
      <c r="D46" s="17"/>
      <c r="E46" s="13"/>
      <c r="F46" s="13"/>
      <c r="G46" s="13"/>
      <c r="H46" s="13"/>
      <c r="I46" s="13"/>
      <c r="J46" s="13"/>
    </row>
    <row r="47" spans="1:11" x14ac:dyDescent="0.25">
      <c r="A47" s="16" t="s">
        <v>55</v>
      </c>
      <c r="E47" s="13"/>
      <c r="F47" s="13"/>
      <c r="G47" s="13"/>
      <c r="H47" s="13"/>
      <c r="I47" s="13"/>
      <c r="J47" s="13"/>
    </row>
    <row r="48" spans="1:11" ht="62.25" customHeight="1" x14ac:dyDescent="0.25">
      <c r="B48" s="360" t="s">
        <v>178</v>
      </c>
      <c r="C48" s="361"/>
      <c r="D48" s="361"/>
      <c r="E48" s="362"/>
      <c r="F48" s="13"/>
      <c r="G48" s="13"/>
      <c r="H48" s="13"/>
      <c r="I48" s="13"/>
      <c r="J48" s="13"/>
    </row>
    <row r="49" spans="1:19" ht="17.25" x14ac:dyDescent="0.25">
      <c r="B49" s="3"/>
      <c r="C49" s="3"/>
      <c r="D49" s="3"/>
      <c r="E49" s="13"/>
      <c r="F49" s="13"/>
      <c r="G49" s="13"/>
      <c r="H49" s="13"/>
      <c r="I49" s="13"/>
      <c r="J49" s="13"/>
    </row>
    <row r="50" spans="1:19" x14ac:dyDescent="0.25">
      <c r="A50" s="7" t="s">
        <v>56</v>
      </c>
    </row>
    <row r="52" spans="1:19" ht="43.5" customHeight="1" x14ac:dyDescent="0.25">
      <c r="B52" s="363" t="s">
        <v>95</v>
      </c>
      <c r="C52" s="4" t="s">
        <v>96</v>
      </c>
      <c r="D52" s="4" t="s">
        <v>97</v>
      </c>
      <c r="E52" s="358" t="s">
        <v>98</v>
      </c>
      <c r="F52" s="358"/>
      <c r="G52" s="358"/>
      <c r="H52" s="358" t="s">
        <v>99</v>
      </c>
      <c r="I52" s="358"/>
      <c r="J52" s="358"/>
      <c r="K52" s="358" t="s">
        <v>100</v>
      </c>
      <c r="L52" s="358"/>
      <c r="M52" s="358"/>
      <c r="N52" s="358" t="s">
        <v>101</v>
      </c>
      <c r="O52" s="358"/>
      <c r="P52" s="358"/>
      <c r="Q52" s="359" t="s">
        <v>102</v>
      </c>
      <c r="R52" s="359"/>
      <c r="S52" s="359"/>
    </row>
    <row r="53" spans="1:19" ht="30" customHeight="1" x14ac:dyDescent="0.25">
      <c r="B53" s="363"/>
      <c r="C53" s="4" t="s">
        <v>35</v>
      </c>
      <c r="D53" s="4" t="s">
        <v>36</v>
      </c>
      <c r="E53" s="19" t="s">
        <v>0</v>
      </c>
      <c r="F53" s="19" t="s">
        <v>1</v>
      </c>
      <c r="G53" s="19" t="s">
        <v>3</v>
      </c>
      <c r="H53" s="19" t="s">
        <v>0</v>
      </c>
      <c r="I53" s="19" t="s">
        <v>1</v>
      </c>
      <c r="J53" s="19" t="s">
        <v>3</v>
      </c>
      <c r="K53" s="19" t="s">
        <v>39</v>
      </c>
      <c r="L53" s="19" t="s">
        <v>38</v>
      </c>
      <c r="M53" s="19" t="s">
        <v>37</v>
      </c>
      <c r="N53" s="19" t="s">
        <v>39</v>
      </c>
      <c r="O53" s="19" t="s">
        <v>38</v>
      </c>
      <c r="P53" s="19" t="s">
        <v>37</v>
      </c>
      <c r="Q53" s="26" t="s">
        <v>0</v>
      </c>
      <c r="R53" s="26" t="s">
        <v>1</v>
      </c>
      <c r="S53" s="26" t="s">
        <v>3</v>
      </c>
    </row>
    <row r="54" spans="1:19" ht="27" x14ac:dyDescent="0.25">
      <c r="B54" s="22" t="s">
        <v>151</v>
      </c>
      <c r="C54" s="22">
        <v>76743</v>
      </c>
      <c r="D54" s="22">
        <v>72156</v>
      </c>
      <c r="E54" s="23"/>
      <c r="F54" s="23"/>
      <c r="G54" s="23"/>
      <c r="H54" s="23">
        <v>287645.5</v>
      </c>
      <c r="I54" s="23">
        <v>120000</v>
      </c>
      <c r="J54" s="23">
        <f>I54</f>
        <v>120000</v>
      </c>
      <c r="K54" s="19">
        <f>C54+E54+H54</f>
        <v>364388.5</v>
      </c>
      <c r="L54" s="19">
        <f>C54+F54+I54</f>
        <v>196743</v>
      </c>
      <c r="M54" s="19">
        <f>C54+G54+J54</f>
        <v>196743</v>
      </c>
      <c r="N54" s="23"/>
      <c r="O54" s="23"/>
      <c r="P54" s="23"/>
      <c r="Q54" s="26">
        <f>K54+N54</f>
        <v>364388.5</v>
      </c>
      <c r="R54" s="26">
        <f>L54+O54</f>
        <v>196743</v>
      </c>
      <c r="S54" s="26">
        <f>M54+P54</f>
        <v>196743</v>
      </c>
    </row>
    <row r="55" spans="1:19" ht="27" x14ac:dyDescent="0.25">
      <c r="B55" s="22" t="s">
        <v>179</v>
      </c>
      <c r="C55" s="338">
        <v>160</v>
      </c>
      <c r="D55" s="338">
        <v>150</v>
      </c>
      <c r="E55" s="338"/>
      <c r="F55" s="23"/>
      <c r="G55" s="23"/>
      <c r="H55" s="23"/>
      <c r="I55" s="23">
        <f t="shared" ref="I55:J70" si="1">H55</f>
        <v>0</v>
      </c>
      <c r="J55" s="23">
        <f t="shared" si="1"/>
        <v>0</v>
      </c>
      <c r="K55" s="339">
        <f>+C55+E55+H55</f>
        <v>160</v>
      </c>
      <c r="L55" s="19">
        <f t="shared" ref="L55:L84" si="2">C55+F55+I55</f>
        <v>160</v>
      </c>
      <c r="M55" s="19">
        <f t="shared" ref="M55:M84" si="3">C55+G55+J55</f>
        <v>160</v>
      </c>
      <c r="N55" s="23"/>
      <c r="O55" s="23"/>
      <c r="P55" s="23"/>
      <c r="Q55" s="26">
        <f t="shared" ref="Q55:S84" si="4">K55+N55</f>
        <v>160</v>
      </c>
      <c r="R55" s="26">
        <f t="shared" si="4"/>
        <v>160</v>
      </c>
      <c r="S55" s="26">
        <f t="shared" si="4"/>
        <v>160</v>
      </c>
    </row>
    <row r="56" spans="1:19" ht="27" x14ac:dyDescent="0.25">
      <c r="B56" s="22" t="s">
        <v>153</v>
      </c>
      <c r="C56" s="338">
        <v>700</v>
      </c>
      <c r="D56" s="338">
        <v>600</v>
      </c>
      <c r="E56" s="338"/>
      <c r="F56" s="23"/>
      <c r="G56" s="23"/>
      <c r="H56" s="23"/>
      <c r="I56" s="23">
        <f t="shared" si="1"/>
        <v>0</v>
      </c>
      <c r="J56" s="23">
        <f t="shared" si="1"/>
        <v>0</v>
      </c>
      <c r="K56" s="339">
        <f t="shared" ref="K56:K84" si="5">+C56+E56+H56</f>
        <v>700</v>
      </c>
      <c r="L56" s="19">
        <f t="shared" si="2"/>
        <v>700</v>
      </c>
      <c r="M56" s="19">
        <f t="shared" si="3"/>
        <v>700</v>
      </c>
      <c r="N56" s="23"/>
      <c r="O56" s="23"/>
      <c r="P56" s="23"/>
      <c r="Q56" s="26">
        <f t="shared" si="4"/>
        <v>700</v>
      </c>
      <c r="R56" s="26">
        <f t="shared" si="4"/>
        <v>700</v>
      </c>
      <c r="S56" s="26">
        <f t="shared" si="4"/>
        <v>700</v>
      </c>
    </row>
    <row r="57" spans="1:19" ht="16.5" x14ac:dyDescent="0.25">
      <c r="B57" s="44" t="s">
        <v>120</v>
      </c>
      <c r="C57" s="338">
        <v>1127</v>
      </c>
      <c r="D57" s="338">
        <v>1000</v>
      </c>
      <c r="E57" s="338"/>
      <c r="F57" s="23"/>
      <c r="G57" s="23"/>
      <c r="H57" s="23"/>
      <c r="I57" s="23">
        <f t="shared" si="1"/>
        <v>0</v>
      </c>
      <c r="J57" s="23">
        <f t="shared" si="1"/>
        <v>0</v>
      </c>
      <c r="K57" s="339">
        <f t="shared" si="5"/>
        <v>1127</v>
      </c>
      <c r="L57" s="19">
        <f t="shared" si="2"/>
        <v>1127</v>
      </c>
      <c r="M57" s="19">
        <f t="shared" si="3"/>
        <v>1127</v>
      </c>
      <c r="N57" s="23"/>
      <c r="O57" s="23"/>
      <c r="P57" s="23"/>
      <c r="Q57" s="26">
        <f t="shared" si="4"/>
        <v>1127</v>
      </c>
      <c r="R57" s="26">
        <f t="shared" si="4"/>
        <v>1127</v>
      </c>
      <c r="S57" s="26">
        <f t="shared" si="4"/>
        <v>1127</v>
      </c>
    </row>
    <row r="58" spans="1:19" ht="16.5" x14ac:dyDescent="0.25">
      <c r="B58" s="44" t="s">
        <v>154</v>
      </c>
      <c r="C58" s="338">
        <v>300</v>
      </c>
      <c r="D58" s="338">
        <v>0</v>
      </c>
      <c r="E58" s="338"/>
      <c r="F58" s="23"/>
      <c r="G58" s="23"/>
      <c r="H58" s="23"/>
      <c r="I58" s="23">
        <f t="shared" si="1"/>
        <v>0</v>
      </c>
      <c r="J58" s="23">
        <f t="shared" si="1"/>
        <v>0</v>
      </c>
      <c r="K58" s="339">
        <f t="shared" si="5"/>
        <v>300</v>
      </c>
      <c r="L58" s="19">
        <f t="shared" si="2"/>
        <v>300</v>
      </c>
      <c r="M58" s="19">
        <f t="shared" si="3"/>
        <v>300</v>
      </c>
      <c r="N58" s="23"/>
      <c r="O58" s="23"/>
      <c r="P58" s="23"/>
      <c r="Q58" s="26">
        <f t="shared" si="4"/>
        <v>300</v>
      </c>
      <c r="R58" s="26">
        <f t="shared" si="4"/>
        <v>300</v>
      </c>
      <c r="S58" s="26">
        <f t="shared" si="4"/>
        <v>300</v>
      </c>
    </row>
    <row r="59" spans="1:19" ht="16.5" x14ac:dyDescent="0.25">
      <c r="B59" s="44" t="s">
        <v>155</v>
      </c>
      <c r="C59" s="338">
        <v>300</v>
      </c>
      <c r="D59" s="338">
        <v>0</v>
      </c>
      <c r="E59" s="338"/>
      <c r="F59" s="23"/>
      <c r="G59" s="23"/>
      <c r="H59" s="23"/>
      <c r="I59" s="23">
        <f t="shared" si="1"/>
        <v>0</v>
      </c>
      <c r="J59" s="23">
        <f t="shared" si="1"/>
        <v>0</v>
      </c>
      <c r="K59" s="339">
        <f t="shared" si="5"/>
        <v>300</v>
      </c>
      <c r="L59" s="19">
        <f t="shared" si="2"/>
        <v>300</v>
      </c>
      <c r="M59" s="19">
        <f t="shared" si="3"/>
        <v>300</v>
      </c>
      <c r="N59" s="23"/>
      <c r="O59" s="23"/>
      <c r="P59" s="23"/>
      <c r="Q59" s="26">
        <f t="shared" si="4"/>
        <v>300</v>
      </c>
      <c r="R59" s="26">
        <f t="shared" si="4"/>
        <v>300</v>
      </c>
      <c r="S59" s="26">
        <f t="shared" si="4"/>
        <v>300</v>
      </c>
    </row>
    <row r="60" spans="1:19" ht="16.5" x14ac:dyDescent="0.25">
      <c r="B60" s="44" t="s">
        <v>109</v>
      </c>
      <c r="C60" s="338">
        <v>805</v>
      </c>
      <c r="D60" s="338">
        <v>805</v>
      </c>
      <c r="E60" s="338"/>
      <c r="F60" s="23"/>
      <c r="G60" s="23"/>
      <c r="H60" s="23"/>
      <c r="I60" s="23">
        <f t="shared" si="1"/>
        <v>0</v>
      </c>
      <c r="J60" s="23">
        <f t="shared" si="1"/>
        <v>0</v>
      </c>
      <c r="K60" s="339">
        <f t="shared" si="5"/>
        <v>805</v>
      </c>
      <c r="L60" s="19">
        <f t="shared" si="2"/>
        <v>805</v>
      </c>
      <c r="M60" s="19">
        <f t="shared" si="3"/>
        <v>805</v>
      </c>
      <c r="N60" s="23"/>
      <c r="O60" s="23"/>
      <c r="P60" s="23"/>
      <c r="Q60" s="26">
        <f t="shared" si="4"/>
        <v>805</v>
      </c>
      <c r="R60" s="26">
        <f t="shared" si="4"/>
        <v>805</v>
      </c>
      <c r="S60" s="26">
        <f t="shared" si="4"/>
        <v>805</v>
      </c>
    </row>
    <row r="61" spans="1:19" ht="16.5" x14ac:dyDescent="0.25">
      <c r="B61" s="44" t="s">
        <v>110</v>
      </c>
      <c r="C61" s="338">
        <v>1100</v>
      </c>
      <c r="D61" s="338">
        <v>1300</v>
      </c>
      <c r="E61" s="338"/>
      <c r="F61" s="23"/>
      <c r="G61" s="23"/>
      <c r="H61" s="23"/>
      <c r="I61" s="23">
        <f t="shared" si="1"/>
        <v>0</v>
      </c>
      <c r="J61" s="23">
        <f t="shared" si="1"/>
        <v>0</v>
      </c>
      <c r="K61" s="339">
        <f t="shared" si="5"/>
        <v>1100</v>
      </c>
      <c r="L61" s="19">
        <f t="shared" si="2"/>
        <v>1100</v>
      </c>
      <c r="M61" s="19">
        <f t="shared" si="3"/>
        <v>1100</v>
      </c>
      <c r="N61" s="23"/>
      <c r="O61" s="23"/>
      <c r="P61" s="23"/>
      <c r="Q61" s="26">
        <f t="shared" si="4"/>
        <v>1100</v>
      </c>
      <c r="R61" s="26">
        <f t="shared" si="4"/>
        <v>1100</v>
      </c>
      <c r="S61" s="26">
        <f t="shared" si="4"/>
        <v>1100</v>
      </c>
    </row>
    <row r="62" spans="1:19" ht="16.5" x14ac:dyDescent="0.25">
      <c r="B62" s="44" t="s">
        <v>156</v>
      </c>
      <c r="C62" s="338">
        <v>3128</v>
      </c>
      <c r="D62" s="338">
        <v>1145</v>
      </c>
      <c r="E62" s="338"/>
      <c r="F62" s="23"/>
      <c r="G62" s="23"/>
      <c r="H62" s="23"/>
      <c r="I62" s="23">
        <f t="shared" si="1"/>
        <v>0</v>
      </c>
      <c r="J62" s="23">
        <f t="shared" si="1"/>
        <v>0</v>
      </c>
      <c r="K62" s="339">
        <f t="shared" si="5"/>
        <v>3128</v>
      </c>
      <c r="L62" s="19">
        <f t="shared" si="2"/>
        <v>3128</v>
      </c>
      <c r="M62" s="19">
        <f t="shared" si="3"/>
        <v>3128</v>
      </c>
      <c r="N62" s="23"/>
      <c r="O62" s="23"/>
      <c r="P62" s="23"/>
      <c r="Q62" s="26">
        <f t="shared" si="4"/>
        <v>3128</v>
      </c>
      <c r="R62" s="26">
        <f t="shared" si="4"/>
        <v>3128</v>
      </c>
      <c r="S62" s="26">
        <f t="shared" si="4"/>
        <v>3128</v>
      </c>
    </row>
    <row r="63" spans="1:19" ht="16.5" x14ac:dyDescent="0.25">
      <c r="B63" s="44" t="s">
        <v>114</v>
      </c>
      <c r="C63" s="338">
        <v>935</v>
      </c>
      <c r="D63" s="338">
        <v>1000</v>
      </c>
      <c r="E63" s="338"/>
      <c r="F63" s="23"/>
      <c r="G63" s="23"/>
      <c r="H63" s="23"/>
      <c r="I63" s="23">
        <f t="shared" si="1"/>
        <v>0</v>
      </c>
      <c r="J63" s="23">
        <f t="shared" si="1"/>
        <v>0</v>
      </c>
      <c r="K63" s="339">
        <f t="shared" si="5"/>
        <v>935</v>
      </c>
      <c r="L63" s="19">
        <f t="shared" si="2"/>
        <v>935</v>
      </c>
      <c r="M63" s="19">
        <f t="shared" si="3"/>
        <v>935</v>
      </c>
      <c r="N63" s="23"/>
      <c r="O63" s="23"/>
      <c r="P63" s="23"/>
      <c r="Q63" s="26">
        <f t="shared" si="4"/>
        <v>935</v>
      </c>
      <c r="R63" s="26">
        <f t="shared" si="4"/>
        <v>935</v>
      </c>
      <c r="S63" s="26">
        <f t="shared" si="4"/>
        <v>935</v>
      </c>
    </row>
    <row r="64" spans="1:19" ht="16.5" x14ac:dyDescent="0.25">
      <c r="B64" s="44" t="s">
        <v>131</v>
      </c>
      <c r="C64" s="338">
        <v>1200</v>
      </c>
      <c r="D64" s="338">
        <v>2000</v>
      </c>
      <c r="E64" s="338"/>
      <c r="F64" s="23"/>
      <c r="G64" s="23"/>
      <c r="H64" s="23">
        <v>30000</v>
      </c>
      <c r="I64" s="23">
        <v>5000</v>
      </c>
      <c r="J64" s="23">
        <f t="shared" si="1"/>
        <v>5000</v>
      </c>
      <c r="K64" s="339">
        <f t="shared" si="5"/>
        <v>31200</v>
      </c>
      <c r="L64" s="19">
        <f t="shared" si="2"/>
        <v>6200</v>
      </c>
      <c r="M64" s="19">
        <f t="shared" si="3"/>
        <v>6200</v>
      </c>
      <c r="N64" s="23"/>
      <c r="O64" s="23"/>
      <c r="P64" s="23"/>
      <c r="Q64" s="26">
        <f t="shared" si="4"/>
        <v>31200</v>
      </c>
      <c r="R64" s="26">
        <f t="shared" si="4"/>
        <v>6200</v>
      </c>
      <c r="S64" s="26">
        <f t="shared" si="4"/>
        <v>6200</v>
      </c>
    </row>
    <row r="65" spans="2:19" ht="64.5" customHeight="1" x14ac:dyDescent="0.25">
      <c r="B65" s="44" t="s">
        <v>157</v>
      </c>
      <c r="C65" s="338"/>
      <c r="D65" s="338"/>
      <c r="E65" s="338"/>
      <c r="F65" s="23"/>
      <c r="G65" s="23"/>
      <c r="H65" s="23">
        <v>60000</v>
      </c>
      <c r="I65" s="23">
        <v>4000</v>
      </c>
      <c r="J65" s="23">
        <f t="shared" si="1"/>
        <v>4000</v>
      </c>
      <c r="K65" s="339">
        <f t="shared" si="5"/>
        <v>60000</v>
      </c>
      <c r="L65" s="19">
        <f t="shared" si="2"/>
        <v>4000</v>
      </c>
      <c r="M65" s="19">
        <f t="shared" si="3"/>
        <v>4000</v>
      </c>
      <c r="N65" s="23"/>
      <c r="O65" s="23"/>
      <c r="P65" s="23"/>
      <c r="Q65" s="26">
        <f t="shared" si="4"/>
        <v>60000</v>
      </c>
      <c r="R65" s="26">
        <f t="shared" si="4"/>
        <v>4000</v>
      </c>
      <c r="S65" s="26">
        <f t="shared" si="4"/>
        <v>4000</v>
      </c>
    </row>
    <row r="66" spans="2:19" ht="27" x14ac:dyDescent="0.25">
      <c r="B66" s="44" t="s">
        <v>158</v>
      </c>
      <c r="C66" s="338"/>
      <c r="D66" s="338"/>
      <c r="E66" s="338"/>
      <c r="F66" s="23"/>
      <c r="G66" s="23"/>
      <c r="H66" s="23">
        <v>2400</v>
      </c>
      <c r="I66" s="23">
        <v>2400</v>
      </c>
      <c r="J66" s="23">
        <f t="shared" si="1"/>
        <v>2400</v>
      </c>
      <c r="K66" s="339">
        <f t="shared" si="5"/>
        <v>2400</v>
      </c>
      <c r="L66" s="19">
        <f t="shared" si="2"/>
        <v>2400</v>
      </c>
      <c r="M66" s="19">
        <f t="shared" si="3"/>
        <v>2400</v>
      </c>
      <c r="N66" s="23"/>
      <c r="O66" s="23"/>
      <c r="P66" s="23"/>
      <c r="Q66" s="26">
        <f t="shared" si="4"/>
        <v>2400</v>
      </c>
      <c r="R66" s="26">
        <f t="shared" si="4"/>
        <v>2400</v>
      </c>
      <c r="S66" s="26">
        <f t="shared" si="4"/>
        <v>2400</v>
      </c>
    </row>
    <row r="67" spans="2:19" ht="40.5" x14ac:dyDescent="0.25">
      <c r="B67" s="44" t="s">
        <v>159</v>
      </c>
      <c r="C67" s="338">
        <v>53684</v>
      </c>
      <c r="D67" s="338">
        <v>52010.6</v>
      </c>
      <c r="E67" s="338"/>
      <c r="F67" s="23"/>
      <c r="G67" s="23"/>
      <c r="H67" s="23">
        <v>166041.5</v>
      </c>
      <c r="I67" s="23">
        <v>6902</v>
      </c>
      <c r="J67" s="23">
        <f t="shared" si="1"/>
        <v>6902</v>
      </c>
      <c r="K67" s="339">
        <f t="shared" si="5"/>
        <v>219725.5</v>
      </c>
      <c r="L67" s="19">
        <f t="shared" si="2"/>
        <v>60586</v>
      </c>
      <c r="M67" s="19">
        <f t="shared" si="3"/>
        <v>60586</v>
      </c>
      <c r="N67" s="23"/>
      <c r="O67" s="23"/>
      <c r="P67" s="23"/>
      <c r="Q67" s="26">
        <f t="shared" si="4"/>
        <v>219725.5</v>
      </c>
      <c r="R67" s="26">
        <f t="shared" si="4"/>
        <v>60586</v>
      </c>
      <c r="S67" s="26">
        <f t="shared" si="4"/>
        <v>60586</v>
      </c>
    </row>
    <row r="68" spans="2:19" ht="16.5" x14ac:dyDescent="0.25">
      <c r="B68" s="44" t="s">
        <v>160</v>
      </c>
      <c r="C68" s="338">
        <v>2900</v>
      </c>
      <c r="D68" s="338">
        <v>2000</v>
      </c>
      <c r="E68" s="338"/>
      <c r="F68" s="23"/>
      <c r="G68" s="23"/>
      <c r="H68" s="23">
        <v>11600</v>
      </c>
      <c r="I68" s="23">
        <v>7000</v>
      </c>
      <c r="J68" s="23">
        <f t="shared" si="1"/>
        <v>7000</v>
      </c>
      <c r="K68" s="339">
        <f t="shared" si="5"/>
        <v>14500</v>
      </c>
      <c r="L68" s="19">
        <f t="shared" si="2"/>
        <v>9900</v>
      </c>
      <c r="M68" s="19">
        <f t="shared" si="3"/>
        <v>9900</v>
      </c>
      <c r="N68" s="23"/>
      <c r="O68" s="23"/>
      <c r="P68" s="23"/>
      <c r="Q68" s="26">
        <f t="shared" si="4"/>
        <v>14500</v>
      </c>
      <c r="R68" s="26">
        <f t="shared" si="4"/>
        <v>9900</v>
      </c>
      <c r="S68" s="26">
        <f t="shared" si="4"/>
        <v>9900</v>
      </c>
    </row>
    <row r="69" spans="2:19" ht="16.5" x14ac:dyDescent="0.25">
      <c r="B69" s="44" t="s">
        <v>161</v>
      </c>
      <c r="C69" s="338"/>
      <c r="D69" s="338"/>
      <c r="E69" s="338"/>
      <c r="F69" s="23"/>
      <c r="G69" s="23"/>
      <c r="H69" s="23">
        <v>25000</v>
      </c>
      <c r="I69" s="23">
        <v>7000</v>
      </c>
      <c r="J69" s="23">
        <f t="shared" si="1"/>
        <v>7000</v>
      </c>
      <c r="K69" s="339">
        <f t="shared" si="5"/>
        <v>25000</v>
      </c>
      <c r="L69" s="19">
        <f t="shared" si="2"/>
        <v>7000</v>
      </c>
      <c r="M69" s="19">
        <f t="shared" si="3"/>
        <v>7000</v>
      </c>
      <c r="N69" s="23"/>
      <c r="O69" s="23"/>
      <c r="P69" s="23"/>
      <c r="Q69" s="26">
        <f t="shared" si="4"/>
        <v>25000</v>
      </c>
      <c r="R69" s="26">
        <f t="shared" si="4"/>
        <v>7000</v>
      </c>
      <c r="S69" s="26">
        <f t="shared" si="4"/>
        <v>7000</v>
      </c>
    </row>
    <row r="70" spans="2:19" ht="16.5" x14ac:dyDescent="0.25">
      <c r="B70" s="44" t="s">
        <v>162</v>
      </c>
      <c r="C70" s="338"/>
      <c r="D70" s="338"/>
      <c r="E70" s="338"/>
      <c r="F70" s="23"/>
      <c r="G70" s="23"/>
      <c r="H70" s="23">
        <v>13000</v>
      </c>
      <c r="I70" s="23">
        <v>5000</v>
      </c>
      <c r="J70" s="23">
        <f t="shared" si="1"/>
        <v>5000</v>
      </c>
      <c r="K70" s="339">
        <f t="shared" si="5"/>
        <v>13000</v>
      </c>
      <c r="L70" s="19">
        <f t="shared" si="2"/>
        <v>5000</v>
      </c>
      <c r="M70" s="19">
        <f t="shared" si="3"/>
        <v>5000</v>
      </c>
      <c r="N70" s="23"/>
      <c r="O70" s="23"/>
      <c r="P70" s="23"/>
      <c r="Q70" s="26">
        <f t="shared" si="4"/>
        <v>13000</v>
      </c>
      <c r="R70" s="26">
        <f t="shared" si="4"/>
        <v>5000</v>
      </c>
      <c r="S70" s="26">
        <f t="shared" si="4"/>
        <v>5000</v>
      </c>
    </row>
    <row r="71" spans="2:19" ht="42.75" customHeight="1" x14ac:dyDescent="0.25">
      <c r="B71" s="44" t="s">
        <v>163</v>
      </c>
      <c r="C71" s="338"/>
      <c r="D71" s="338"/>
      <c r="E71" s="338"/>
      <c r="F71" s="23"/>
      <c r="G71" s="23"/>
      <c r="H71" s="23">
        <v>12000</v>
      </c>
      <c r="I71" s="23">
        <v>7000</v>
      </c>
      <c r="J71" s="23">
        <f t="shared" ref="J71:J84" si="6">I71</f>
        <v>7000</v>
      </c>
      <c r="K71" s="339">
        <f t="shared" si="5"/>
        <v>12000</v>
      </c>
      <c r="L71" s="19">
        <f t="shared" si="2"/>
        <v>7000</v>
      </c>
      <c r="M71" s="19">
        <f t="shared" si="3"/>
        <v>7000</v>
      </c>
      <c r="N71" s="23"/>
      <c r="O71" s="23"/>
      <c r="P71" s="23"/>
      <c r="Q71" s="26">
        <f t="shared" si="4"/>
        <v>12000</v>
      </c>
      <c r="R71" s="26">
        <f t="shared" si="4"/>
        <v>7000</v>
      </c>
      <c r="S71" s="26">
        <f t="shared" si="4"/>
        <v>7000</v>
      </c>
    </row>
    <row r="72" spans="2:19" ht="40.5" x14ac:dyDescent="0.25">
      <c r="B72" s="44" t="s">
        <v>164</v>
      </c>
      <c r="C72" s="338">
        <v>18000</v>
      </c>
      <c r="D72" s="338"/>
      <c r="E72" s="338"/>
      <c r="F72" s="23"/>
      <c r="G72" s="23"/>
      <c r="H72" s="23">
        <v>100000</v>
      </c>
      <c r="I72" s="23">
        <v>6000</v>
      </c>
      <c r="J72" s="23">
        <f t="shared" si="6"/>
        <v>6000</v>
      </c>
      <c r="K72" s="339">
        <f t="shared" si="5"/>
        <v>118000</v>
      </c>
      <c r="L72" s="19">
        <f t="shared" si="2"/>
        <v>24000</v>
      </c>
      <c r="M72" s="19">
        <f t="shared" si="3"/>
        <v>24000</v>
      </c>
      <c r="N72" s="23"/>
      <c r="O72" s="23"/>
      <c r="P72" s="23"/>
      <c r="Q72" s="26">
        <f t="shared" si="4"/>
        <v>118000</v>
      </c>
      <c r="R72" s="26">
        <f t="shared" si="4"/>
        <v>24000</v>
      </c>
      <c r="S72" s="26">
        <f t="shared" si="4"/>
        <v>24000</v>
      </c>
    </row>
    <row r="73" spans="2:19" ht="27" x14ac:dyDescent="0.25">
      <c r="B73" s="44" t="s">
        <v>165</v>
      </c>
      <c r="C73" s="338"/>
      <c r="D73" s="338"/>
      <c r="E73" s="338"/>
      <c r="F73" s="23"/>
      <c r="G73" s="23"/>
      <c r="H73" s="23">
        <v>100000</v>
      </c>
      <c r="I73" s="23">
        <v>5000</v>
      </c>
      <c r="J73" s="23">
        <f t="shared" si="6"/>
        <v>5000</v>
      </c>
      <c r="K73" s="339">
        <f t="shared" si="5"/>
        <v>100000</v>
      </c>
      <c r="L73" s="19">
        <f t="shared" si="2"/>
        <v>5000</v>
      </c>
      <c r="M73" s="19">
        <f t="shared" si="3"/>
        <v>5000</v>
      </c>
      <c r="N73" s="23"/>
      <c r="O73" s="23"/>
      <c r="P73" s="23"/>
      <c r="Q73" s="26">
        <f t="shared" si="4"/>
        <v>100000</v>
      </c>
      <c r="R73" s="26">
        <f t="shared" si="4"/>
        <v>5000</v>
      </c>
      <c r="S73" s="26">
        <f t="shared" si="4"/>
        <v>5000</v>
      </c>
    </row>
    <row r="74" spans="2:19" ht="40.5" x14ac:dyDescent="0.25">
      <c r="B74" s="44" t="s">
        <v>166</v>
      </c>
      <c r="C74" s="338">
        <v>16000</v>
      </c>
      <c r="D74" s="338"/>
      <c r="E74" s="338"/>
      <c r="F74" s="23"/>
      <c r="G74" s="23"/>
      <c r="H74" s="23">
        <v>60000</v>
      </c>
      <c r="I74" s="23">
        <v>6000</v>
      </c>
      <c r="J74" s="23">
        <f t="shared" si="6"/>
        <v>6000</v>
      </c>
      <c r="K74" s="339">
        <f t="shared" si="5"/>
        <v>76000</v>
      </c>
      <c r="L74" s="19">
        <f t="shared" si="2"/>
        <v>22000</v>
      </c>
      <c r="M74" s="19">
        <f t="shared" si="3"/>
        <v>22000</v>
      </c>
      <c r="N74" s="23"/>
      <c r="O74" s="23"/>
      <c r="P74" s="23"/>
      <c r="Q74" s="26">
        <f t="shared" si="4"/>
        <v>76000</v>
      </c>
      <c r="R74" s="26">
        <f t="shared" si="4"/>
        <v>22000</v>
      </c>
      <c r="S74" s="26">
        <f t="shared" si="4"/>
        <v>22000</v>
      </c>
    </row>
    <row r="75" spans="2:19" ht="27" x14ac:dyDescent="0.25">
      <c r="B75" s="44" t="s">
        <v>167</v>
      </c>
      <c r="C75" s="338">
        <v>1000</v>
      </c>
      <c r="D75" s="338"/>
      <c r="E75" s="338"/>
      <c r="F75" s="23"/>
      <c r="G75" s="23"/>
      <c r="H75" s="23">
        <v>50000</v>
      </c>
      <c r="I75" s="23">
        <v>8000</v>
      </c>
      <c r="J75" s="23">
        <f t="shared" si="6"/>
        <v>8000</v>
      </c>
      <c r="K75" s="339">
        <f t="shared" si="5"/>
        <v>51000</v>
      </c>
      <c r="L75" s="19">
        <f t="shared" si="2"/>
        <v>9000</v>
      </c>
      <c r="M75" s="19">
        <f t="shared" si="3"/>
        <v>9000</v>
      </c>
      <c r="N75" s="23"/>
      <c r="O75" s="23"/>
      <c r="P75" s="23"/>
      <c r="Q75" s="26">
        <f t="shared" si="4"/>
        <v>51000</v>
      </c>
      <c r="R75" s="26">
        <f t="shared" si="4"/>
        <v>9000</v>
      </c>
      <c r="S75" s="26">
        <f t="shared" si="4"/>
        <v>9000</v>
      </c>
    </row>
    <row r="76" spans="2:19" ht="40.5" x14ac:dyDescent="0.25">
      <c r="B76" s="44" t="s">
        <v>168</v>
      </c>
      <c r="C76" s="338">
        <v>5000</v>
      </c>
      <c r="D76" s="338">
        <v>5000</v>
      </c>
      <c r="E76" s="338"/>
      <c r="F76" s="23"/>
      <c r="G76" s="23"/>
      <c r="H76" s="23">
        <v>5000</v>
      </c>
      <c r="I76" s="23">
        <v>1000</v>
      </c>
      <c r="J76" s="23">
        <f t="shared" si="6"/>
        <v>1000</v>
      </c>
      <c r="K76" s="339">
        <f t="shared" si="5"/>
        <v>10000</v>
      </c>
      <c r="L76" s="19">
        <f t="shared" si="2"/>
        <v>6000</v>
      </c>
      <c r="M76" s="19">
        <f t="shared" si="3"/>
        <v>6000</v>
      </c>
      <c r="N76" s="23"/>
      <c r="O76" s="23"/>
      <c r="P76" s="23"/>
      <c r="Q76" s="26">
        <f t="shared" si="4"/>
        <v>10000</v>
      </c>
      <c r="R76" s="26">
        <f t="shared" si="4"/>
        <v>6000</v>
      </c>
      <c r="S76" s="26">
        <f t="shared" si="4"/>
        <v>6000</v>
      </c>
    </row>
    <row r="77" spans="2:19" ht="38.25" customHeight="1" x14ac:dyDescent="0.25">
      <c r="B77" s="44" t="s">
        <v>169</v>
      </c>
      <c r="C77" s="338">
        <v>15000</v>
      </c>
      <c r="D77" s="338"/>
      <c r="E77" s="338"/>
      <c r="F77" s="23"/>
      <c r="G77" s="23"/>
      <c r="H77" s="23">
        <v>3000</v>
      </c>
      <c r="I77" s="23">
        <v>1000</v>
      </c>
      <c r="J77" s="23">
        <f t="shared" si="6"/>
        <v>1000</v>
      </c>
      <c r="K77" s="339">
        <f t="shared" si="5"/>
        <v>18000</v>
      </c>
      <c r="L77" s="19">
        <f t="shared" si="2"/>
        <v>16000</v>
      </c>
      <c r="M77" s="19">
        <f t="shared" si="3"/>
        <v>16000</v>
      </c>
      <c r="N77" s="23"/>
      <c r="O77" s="23"/>
      <c r="P77" s="23"/>
      <c r="Q77" s="26">
        <f t="shared" si="4"/>
        <v>18000</v>
      </c>
      <c r="R77" s="26">
        <f t="shared" si="4"/>
        <v>16000</v>
      </c>
      <c r="S77" s="26">
        <f t="shared" si="4"/>
        <v>16000</v>
      </c>
    </row>
    <row r="78" spans="2:19" ht="40.5" x14ac:dyDescent="0.25">
      <c r="B78" s="44" t="s">
        <v>170</v>
      </c>
      <c r="C78" s="338"/>
      <c r="D78" s="338"/>
      <c r="E78" s="338"/>
      <c r="F78" s="23"/>
      <c r="G78" s="23"/>
      <c r="H78" s="23">
        <v>18500</v>
      </c>
      <c r="I78" s="23">
        <v>5000</v>
      </c>
      <c r="J78" s="23">
        <f t="shared" si="6"/>
        <v>5000</v>
      </c>
      <c r="K78" s="339">
        <f t="shared" si="5"/>
        <v>18500</v>
      </c>
      <c r="L78" s="19">
        <f t="shared" si="2"/>
        <v>5000</v>
      </c>
      <c r="M78" s="19">
        <f t="shared" si="3"/>
        <v>5000</v>
      </c>
      <c r="N78" s="23"/>
      <c r="O78" s="23"/>
      <c r="P78" s="23"/>
      <c r="Q78" s="26">
        <f t="shared" si="4"/>
        <v>18500</v>
      </c>
      <c r="R78" s="26">
        <f t="shared" si="4"/>
        <v>5000</v>
      </c>
      <c r="S78" s="26">
        <f t="shared" si="4"/>
        <v>5000</v>
      </c>
    </row>
    <row r="79" spans="2:19" ht="67.5" x14ac:dyDescent="0.25">
      <c r="B79" s="44" t="s">
        <v>171</v>
      </c>
      <c r="C79" s="338"/>
      <c r="D79" s="338"/>
      <c r="E79" s="338"/>
      <c r="F79" s="23"/>
      <c r="G79" s="23"/>
      <c r="H79" s="23">
        <v>20000</v>
      </c>
      <c r="I79" s="23">
        <v>4000</v>
      </c>
      <c r="J79" s="23">
        <f t="shared" si="6"/>
        <v>4000</v>
      </c>
      <c r="K79" s="339">
        <f t="shared" si="5"/>
        <v>20000</v>
      </c>
      <c r="L79" s="19">
        <f t="shared" si="2"/>
        <v>4000</v>
      </c>
      <c r="M79" s="19">
        <f t="shared" si="3"/>
        <v>4000</v>
      </c>
      <c r="N79" s="23"/>
      <c r="O79" s="23"/>
      <c r="P79" s="23"/>
      <c r="Q79" s="26">
        <f t="shared" si="4"/>
        <v>20000</v>
      </c>
      <c r="R79" s="26">
        <f t="shared" si="4"/>
        <v>4000</v>
      </c>
      <c r="S79" s="26">
        <f t="shared" si="4"/>
        <v>4000</v>
      </c>
    </row>
    <row r="80" spans="2:19" ht="27" x14ac:dyDescent="0.25">
      <c r="B80" s="44" t="s">
        <v>172</v>
      </c>
      <c r="C80" s="338"/>
      <c r="D80" s="338"/>
      <c r="E80" s="338"/>
      <c r="F80" s="23"/>
      <c r="G80" s="23"/>
      <c r="H80" s="23">
        <v>51000</v>
      </c>
      <c r="I80" s="23">
        <v>3000</v>
      </c>
      <c r="J80" s="23">
        <f t="shared" si="6"/>
        <v>3000</v>
      </c>
      <c r="K80" s="339">
        <f t="shared" si="5"/>
        <v>51000</v>
      </c>
      <c r="L80" s="19">
        <f t="shared" si="2"/>
        <v>3000</v>
      </c>
      <c r="M80" s="19">
        <f t="shared" si="3"/>
        <v>3000</v>
      </c>
      <c r="N80" s="23"/>
      <c r="O80" s="23"/>
      <c r="P80" s="23"/>
      <c r="Q80" s="26">
        <f t="shared" si="4"/>
        <v>51000</v>
      </c>
      <c r="R80" s="26">
        <f t="shared" si="4"/>
        <v>3000</v>
      </c>
      <c r="S80" s="26">
        <f t="shared" si="4"/>
        <v>3000</v>
      </c>
    </row>
    <row r="81" spans="2:19" ht="40.5" x14ac:dyDescent="0.25">
      <c r="B81" s="44" t="s">
        <v>173</v>
      </c>
      <c r="C81" s="338"/>
      <c r="D81" s="338"/>
      <c r="E81" s="338"/>
      <c r="F81" s="23"/>
      <c r="G81" s="23"/>
      <c r="H81" s="23">
        <v>20000</v>
      </c>
      <c r="I81" s="23">
        <v>8000</v>
      </c>
      <c r="J81" s="23">
        <f t="shared" si="6"/>
        <v>8000</v>
      </c>
      <c r="K81" s="339">
        <f t="shared" si="5"/>
        <v>20000</v>
      </c>
      <c r="L81" s="19">
        <f t="shared" si="2"/>
        <v>8000</v>
      </c>
      <c r="M81" s="19">
        <f t="shared" si="3"/>
        <v>8000</v>
      </c>
      <c r="N81" s="23"/>
      <c r="O81" s="23"/>
      <c r="P81" s="23"/>
      <c r="Q81" s="26">
        <f t="shared" si="4"/>
        <v>20000</v>
      </c>
      <c r="R81" s="26">
        <f t="shared" si="4"/>
        <v>8000</v>
      </c>
      <c r="S81" s="26">
        <f t="shared" si="4"/>
        <v>8000</v>
      </c>
    </row>
    <row r="82" spans="2:19" ht="67.5" x14ac:dyDescent="0.25">
      <c r="B82" s="44" t="s">
        <v>174</v>
      </c>
      <c r="C82" s="338"/>
      <c r="D82" s="338"/>
      <c r="E82" s="338"/>
      <c r="F82" s="23"/>
      <c r="G82" s="23"/>
      <c r="H82" s="23">
        <v>5000</v>
      </c>
      <c r="I82" s="23">
        <v>4000</v>
      </c>
      <c r="J82" s="23">
        <f t="shared" si="6"/>
        <v>4000</v>
      </c>
      <c r="K82" s="339">
        <f t="shared" si="5"/>
        <v>5000</v>
      </c>
      <c r="L82" s="19">
        <f t="shared" si="2"/>
        <v>4000</v>
      </c>
      <c r="M82" s="19">
        <f t="shared" si="3"/>
        <v>4000</v>
      </c>
      <c r="N82" s="23"/>
      <c r="O82" s="23"/>
      <c r="P82" s="23"/>
      <c r="Q82" s="26">
        <f t="shared" si="4"/>
        <v>5000</v>
      </c>
      <c r="R82" s="26">
        <f t="shared" si="4"/>
        <v>4000</v>
      </c>
      <c r="S82" s="26">
        <f t="shared" si="4"/>
        <v>4000</v>
      </c>
    </row>
    <row r="83" spans="2:19" ht="40.5" x14ac:dyDescent="0.25">
      <c r="B83" s="44" t="s">
        <v>175</v>
      </c>
      <c r="C83" s="338"/>
      <c r="D83" s="338"/>
      <c r="E83" s="338"/>
      <c r="F83" s="23"/>
      <c r="G83" s="23"/>
      <c r="H83" s="23">
        <v>25000</v>
      </c>
      <c r="I83" s="23">
        <v>2000</v>
      </c>
      <c r="J83" s="23">
        <f t="shared" si="6"/>
        <v>2000</v>
      </c>
      <c r="K83" s="339">
        <f t="shared" si="5"/>
        <v>25000</v>
      </c>
      <c r="L83" s="19">
        <f t="shared" si="2"/>
        <v>2000</v>
      </c>
      <c r="M83" s="19">
        <f t="shared" si="3"/>
        <v>2000</v>
      </c>
      <c r="N83" s="23"/>
      <c r="O83" s="23"/>
      <c r="P83" s="23"/>
      <c r="Q83" s="26">
        <f t="shared" si="4"/>
        <v>25000</v>
      </c>
      <c r="R83" s="26">
        <f t="shared" si="4"/>
        <v>2000</v>
      </c>
      <c r="S83" s="26">
        <f t="shared" si="4"/>
        <v>2000</v>
      </c>
    </row>
    <row r="84" spans="2:19" ht="25.15" customHeight="1" x14ac:dyDescent="0.25">
      <c r="B84" s="44" t="s">
        <v>176</v>
      </c>
      <c r="C84" s="338">
        <f>39616-1713.9</f>
        <v>37902.1</v>
      </c>
      <c r="D84" s="338">
        <v>27833.4</v>
      </c>
      <c r="E84" s="338"/>
      <c r="F84" s="23"/>
      <c r="G84" s="23"/>
      <c r="H84" s="23">
        <f>167151+1713.9</f>
        <v>168864.9</v>
      </c>
      <c r="I84" s="23">
        <f>91000+1713.9</f>
        <v>92713.9</v>
      </c>
      <c r="J84" s="23">
        <f t="shared" si="6"/>
        <v>92713.9</v>
      </c>
      <c r="K84" s="339">
        <f t="shared" si="5"/>
        <v>206767</v>
      </c>
      <c r="L84" s="19">
        <f t="shared" si="2"/>
        <v>130616</v>
      </c>
      <c r="M84" s="19">
        <f t="shared" si="3"/>
        <v>130616</v>
      </c>
      <c r="N84" s="23"/>
      <c r="O84" s="23"/>
      <c r="P84" s="23"/>
      <c r="Q84" s="26">
        <f t="shared" si="4"/>
        <v>206767</v>
      </c>
      <c r="R84" s="26">
        <f>L84+O84</f>
        <v>130616</v>
      </c>
      <c r="S84" s="26">
        <f t="shared" si="4"/>
        <v>130616</v>
      </c>
    </row>
    <row r="85" spans="2:19" ht="28.5" x14ac:dyDescent="0.25">
      <c r="B85" s="18" t="s">
        <v>73</v>
      </c>
      <c r="C85" s="340">
        <f>C54+C64+C65+C66+C67+C68+C69+C70+C71+C72+C73+C74+C75+C76+C77+C78+C79+C80+C81+C82+C83+C84</f>
        <v>227429.1</v>
      </c>
      <c r="D85" s="22"/>
      <c r="E85" s="19">
        <f t="shared" ref="E85:H85" si="7">SUM(E54:E74)</f>
        <v>0</v>
      </c>
      <c r="F85" s="19">
        <f t="shared" si="7"/>
        <v>0</v>
      </c>
      <c r="G85" s="19">
        <f t="shared" si="7"/>
        <v>0</v>
      </c>
      <c r="H85" s="19">
        <f t="shared" si="7"/>
        <v>867687</v>
      </c>
      <c r="I85" s="19">
        <f>SUM(I54:I84)</f>
        <v>310015.90000000002</v>
      </c>
      <c r="J85" s="19">
        <f>SUM(J54:J84)</f>
        <v>310015.90000000002</v>
      </c>
      <c r="K85" s="19">
        <f>K54+K55+K56+K57+K58+K59+K60+K61+K62+K63+K65+K66+K67+K68+K69+K70+K71+K72+K73+K74+K75+K76+K77+K78+K79+K80+K81+K82+K83+K84</f>
        <v>1438836</v>
      </c>
      <c r="L85" s="19">
        <f>C85+F85+I85</f>
        <v>537445</v>
      </c>
      <c r="M85" s="19">
        <f>C85+G85+J85</f>
        <v>537445</v>
      </c>
      <c r="N85" s="4" t="s">
        <v>2</v>
      </c>
      <c r="O85" s="4" t="s">
        <v>2</v>
      </c>
      <c r="P85" s="4" t="s">
        <v>2</v>
      </c>
      <c r="Q85" s="26" t="s">
        <v>2</v>
      </c>
      <c r="R85" s="26" t="s">
        <v>2</v>
      </c>
      <c r="S85" s="26" t="s">
        <v>2</v>
      </c>
    </row>
    <row r="86" spans="2:19" ht="28.5" x14ac:dyDescent="0.25">
      <c r="B86" s="18" t="s">
        <v>60</v>
      </c>
      <c r="C86" s="340">
        <f>C55+C56+C57+C58+C59+C60+C61+C62+C63</f>
        <v>8555</v>
      </c>
      <c r="D86" s="22"/>
      <c r="E86" s="19" t="s">
        <v>72</v>
      </c>
      <c r="F86" s="19" t="s">
        <v>72</v>
      </c>
      <c r="G86" s="19" t="s">
        <v>72</v>
      </c>
      <c r="H86" s="19" t="s">
        <v>72</v>
      </c>
      <c r="I86" s="19" t="s">
        <v>72</v>
      </c>
      <c r="J86" s="19" t="s">
        <v>72</v>
      </c>
      <c r="K86" s="19">
        <f>C86</f>
        <v>8555</v>
      </c>
      <c r="L86" s="19">
        <f>C86</f>
        <v>8555</v>
      </c>
      <c r="M86" s="19">
        <f>C86</f>
        <v>8555</v>
      </c>
      <c r="N86" s="4" t="s">
        <v>2</v>
      </c>
      <c r="O86" s="4" t="s">
        <v>2</v>
      </c>
      <c r="P86" s="4" t="s">
        <v>2</v>
      </c>
      <c r="Q86" s="26" t="s">
        <v>2</v>
      </c>
      <c r="R86" s="26" t="s">
        <v>2</v>
      </c>
      <c r="S86" s="26" t="s">
        <v>2</v>
      </c>
    </row>
    <row r="87" spans="2:19" s="86" customFormat="1" x14ac:dyDescent="0.25">
      <c r="B87" s="270" t="s">
        <v>61</v>
      </c>
      <c r="C87" s="52">
        <f>C85+C86</f>
        <v>235984.1</v>
      </c>
      <c r="D87" s="52">
        <f>SUM(D54:D86)</f>
        <v>167000</v>
      </c>
      <c r="E87" s="52">
        <f>E85</f>
        <v>0</v>
      </c>
      <c r="F87" s="52">
        <f t="shared" ref="F87:J87" si="8">F85</f>
        <v>0</v>
      </c>
      <c r="G87" s="52">
        <f t="shared" si="8"/>
        <v>0</v>
      </c>
      <c r="H87" s="52">
        <f t="shared" si="8"/>
        <v>867687</v>
      </c>
      <c r="I87" s="52">
        <f t="shared" si="8"/>
        <v>310015.90000000002</v>
      </c>
      <c r="J87" s="52">
        <f t="shared" si="8"/>
        <v>310015.90000000002</v>
      </c>
      <c r="K87" s="82">
        <f>K85+K86</f>
        <v>1447391</v>
      </c>
      <c r="L87" s="82">
        <f t="shared" ref="L87:M87" si="9">L85+L86</f>
        <v>546000</v>
      </c>
      <c r="M87" s="82">
        <f t="shared" si="9"/>
        <v>546000</v>
      </c>
      <c r="N87" s="82">
        <f>SUM(N54:N74)</f>
        <v>0</v>
      </c>
      <c r="O87" s="82">
        <f>SUM(O54:O74)</f>
        <v>0</v>
      </c>
      <c r="P87" s="82">
        <f>SUM(P54:P74)</f>
        <v>0</v>
      </c>
      <c r="Q87" s="70">
        <f>K87+N87</f>
        <v>1447391</v>
      </c>
      <c r="R87" s="70">
        <f>L87+O87</f>
        <v>546000</v>
      </c>
      <c r="S87" s="70">
        <f>M87+P87</f>
        <v>546000</v>
      </c>
    </row>
    <row r="89" spans="2:19" x14ac:dyDescent="0.25">
      <c r="C89" s="341"/>
    </row>
    <row r="90" spans="2:19" x14ac:dyDescent="0.25">
      <c r="C90" s="84"/>
    </row>
    <row r="91" spans="2:19" x14ac:dyDescent="0.25">
      <c r="J91" s="84">
        <f>546000-R87</f>
        <v>0</v>
      </c>
    </row>
  </sheetData>
  <mergeCells count="13">
    <mergeCell ref="K17:K18"/>
    <mergeCell ref="B17:B18"/>
    <mergeCell ref="C17:C18"/>
    <mergeCell ref="D17:D18"/>
    <mergeCell ref="E17:E18"/>
    <mergeCell ref="F17:J17"/>
    <mergeCell ref="N52:P52"/>
    <mergeCell ref="Q52:S52"/>
    <mergeCell ref="B48:E48"/>
    <mergeCell ref="B52:B53"/>
    <mergeCell ref="E52:G52"/>
    <mergeCell ref="H52:J52"/>
    <mergeCell ref="K52:M52"/>
  </mergeCells>
  <dataValidations count="4">
    <dataValidation type="custom" allowBlank="1" showInputMessage="1" showErrorMessage="1" sqref="N54:P84" xr:uid="{56A3E625-9752-493A-A45D-A3F5F59A117B}">
      <formula1>"-"</formula1>
    </dataValidation>
    <dataValidation type="list" allowBlank="1" showInputMessage="1" showErrorMessage="1" sqref="B13" xr:uid="{AA699B1D-D901-4CB3-B1AF-C8F1B0EAA7C6}">
      <formula1>$U$2:$U$4</formula1>
    </dataValidation>
    <dataValidation type="list" allowBlank="1" showInputMessage="1" showErrorMessage="1" sqref="D19:D37" xr:uid="{7DE9002E-1884-4712-85DA-80060C322A8B}">
      <formula1>$V$2:$V$3</formula1>
    </dataValidation>
    <dataValidation showInputMessage="1" showErrorMessage="1" sqref="E19:E37" xr:uid="{AB576030-4EDB-41CC-85E4-F1F4818A9C88}"/>
  </dataValidations>
  <hyperlinks>
    <hyperlink ref="C12" location="_ftn1" display="_ftn1" xr:uid="{9B6A456C-9111-45B6-8C48-33656F3D9089}"/>
    <hyperlink ref="D12" location="_ftn2" display="_ftn2" xr:uid="{9F7CDD61-8ACF-495C-B6BF-A2F517490784}"/>
    <hyperlink ref="E12" location="_ftn3" display="_ftn3" xr:uid="{099976CE-A43D-46CE-85C7-7DFBD0FCD8F4}"/>
  </hyperlinks>
  <printOptions horizontalCentered="1"/>
  <pageMargins left="0.2" right="0.2" top="0.5" bottom="0.5" header="0.3" footer="0.3"/>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10" r:id="rId4" name="Check Box 14">
              <controlPr defaultSize="0" autoFill="0" autoLine="0" autoPict="0">
                <anchor moveWithCells="1">
                  <from>
                    <xdr:col>1</xdr:col>
                    <xdr:colOff>85725</xdr:colOff>
                    <xdr:row>44</xdr:row>
                    <xdr:rowOff>0</xdr:rowOff>
                  </from>
                  <to>
                    <xdr:col>2</xdr:col>
                    <xdr:colOff>1171575</xdr:colOff>
                    <xdr:row>45</xdr:row>
                    <xdr:rowOff>0</xdr:rowOff>
                  </to>
                </anchor>
              </controlPr>
            </control>
          </mc:Choice>
        </mc:AlternateContent>
        <mc:AlternateContent xmlns:mc="http://schemas.openxmlformats.org/markup-compatibility/2006">
          <mc:Choice Requires="x14">
            <control shapeId="4111" r:id="rId5" name="Check Box 15">
              <controlPr defaultSize="0" autoFill="0" autoLine="0" autoPict="0">
                <anchor moveWithCells="1">
                  <from>
                    <xdr:col>1</xdr:col>
                    <xdr:colOff>85725</xdr:colOff>
                    <xdr:row>41</xdr:row>
                    <xdr:rowOff>171450</xdr:rowOff>
                  </from>
                  <to>
                    <xdr:col>3</xdr:col>
                    <xdr:colOff>238125</xdr:colOff>
                    <xdr:row>41</xdr:row>
                    <xdr:rowOff>190500</xdr:rowOff>
                  </to>
                </anchor>
              </controlPr>
            </control>
          </mc:Choice>
        </mc:AlternateContent>
        <mc:AlternateContent xmlns:mc="http://schemas.openxmlformats.org/markup-compatibility/2006">
          <mc:Choice Requires="x14">
            <control shapeId="4112" r:id="rId6" name="Check Box 16">
              <controlPr defaultSize="0" autoFill="0" autoLine="0" autoPict="0">
                <anchor moveWithCells="1">
                  <from>
                    <xdr:col>1</xdr:col>
                    <xdr:colOff>85725</xdr:colOff>
                    <xdr:row>43</xdr:row>
                    <xdr:rowOff>28575</xdr:rowOff>
                  </from>
                  <to>
                    <xdr:col>3</xdr:col>
                    <xdr:colOff>238125</xdr:colOff>
                    <xdr:row>44</xdr:row>
                    <xdr:rowOff>0</xdr:rowOff>
                  </to>
                </anchor>
              </controlPr>
            </control>
          </mc:Choice>
        </mc:AlternateContent>
        <mc:AlternateContent xmlns:mc="http://schemas.openxmlformats.org/markup-compatibility/2006">
          <mc:Choice Requires="x14">
            <control shapeId="4113" r:id="rId7" name="Check Box 17">
              <controlPr defaultSize="0" autoFill="0" autoLine="0" autoPict="0">
                <anchor moveWithCells="1">
                  <from>
                    <xdr:col>1</xdr:col>
                    <xdr:colOff>95250</xdr:colOff>
                    <xdr:row>45</xdr:row>
                    <xdr:rowOff>9525</xdr:rowOff>
                  </from>
                  <to>
                    <xdr:col>2</xdr:col>
                    <xdr:colOff>571500</xdr:colOff>
                    <xdr:row>46</xdr:row>
                    <xdr:rowOff>0</xdr:rowOff>
                  </to>
                </anchor>
              </controlPr>
            </control>
          </mc:Choice>
        </mc:AlternateContent>
        <mc:AlternateContent xmlns:mc="http://schemas.openxmlformats.org/markup-compatibility/2006">
          <mc:Choice Requires="x14">
            <control shapeId="4114" r:id="rId8" name="Check Box 18">
              <controlPr defaultSize="0" autoFill="0" autoLine="0" autoPict="0">
                <anchor moveWithCells="1">
                  <from>
                    <xdr:col>1</xdr:col>
                    <xdr:colOff>85725</xdr:colOff>
                    <xdr:row>44</xdr:row>
                    <xdr:rowOff>0</xdr:rowOff>
                  </from>
                  <to>
                    <xdr:col>2</xdr:col>
                    <xdr:colOff>1171575</xdr:colOff>
                    <xdr:row>45</xdr:row>
                    <xdr:rowOff>0</xdr:rowOff>
                  </to>
                </anchor>
              </controlPr>
            </control>
          </mc:Choice>
        </mc:AlternateContent>
        <mc:AlternateContent xmlns:mc="http://schemas.openxmlformats.org/markup-compatibility/2006">
          <mc:Choice Requires="x14">
            <control shapeId="4115" r:id="rId9" name="Check Box 19">
              <controlPr defaultSize="0" autoFill="0" autoLine="0" autoPict="0">
                <anchor moveWithCells="1">
                  <from>
                    <xdr:col>1</xdr:col>
                    <xdr:colOff>85725</xdr:colOff>
                    <xdr:row>41</xdr:row>
                    <xdr:rowOff>171450</xdr:rowOff>
                  </from>
                  <to>
                    <xdr:col>3</xdr:col>
                    <xdr:colOff>238125</xdr:colOff>
                    <xdr:row>41</xdr:row>
                    <xdr:rowOff>190500</xdr:rowOff>
                  </to>
                </anchor>
              </controlPr>
            </control>
          </mc:Choice>
        </mc:AlternateContent>
        <mc:AlternateContent xmlns:mc="http://schemas.openxmlformats.org/markup-compatibility/2006">
          <mc:Choice Requires="x14">
            <control shapeId="4116" r:id="rId10" name="Check Box 20">
              <controlPr defaultSize="0" autoFill="0" autoLine="0" autoPict="0">
                <anchor moveWithCells="1">
                  <from>
                    <xdr:col>1</xdr:col>
                    <xdr:colOff>85725</xdr:colOff>
                    <xdr:row>43</xdr:row>
                    <xdr:rowOff>28575</xdr:rowOff>
                  </from>
                  <to>
                    <xdr:col>3</xdr:col>
                    <xdr:colOff>238125</xdr:colOff>
                    <xdr:row>44</xdr:row>
                    <xdr:rowOff>0</xdr:rowOff>
                  </to>
                </anchor>
              </controlPr>
            </control>
          </mc:Choice>
        </mc:AlternateContent>
        <mc:AlternateContent xmlns:mc="http://schemas.openxmlformats.org/markup-compatibility/2006">
          <mc:Choice Requires="x14">
            <control shapeId="4117" r:id="rId11" name="Check Box 21">
              <controlPr defaultSize="0" autoFill="0" autoLine="0" autoPict="0">
                <anchor moveWithCells="1">
                  <from>
                    <xdr:col>1</xdr:col>
                    <xdr:colOff>95250</xdr:colOff>
                    <xdr:row>45</xdr:row>
                    <xdr:rowOff>9525</xdr:rowOff>
                  </from>
                  <to>
                    <xdr:col>2</xdr:col>
                    <xdr:colOff>571500</xdr:colOff>
                    <xdr:row>46</xdr:row>
                    <xdr:rowOff>0</xdr:rowOff>
                  </to>
                </anchor>
              </controlPr>
            </control>
          </mc:Choice>
        </mc:AlternateContent>
        <mc:AlternateContent xmlns:mc="http://schemas.openxmlformats.org/markup-compatibility/2006">
          <mc:Choice Requires="x14">
            <control shapeId="4118" r:id="rId12" name="Check Box 22">
              <controlPr defaultSize="0" autoFill="0" autoLine="0" autoPict="0">
                <anchor moveWithCells="1">
                  <from>
                    <xdr:col>1</xdr:col>
                    <xdr:colOff>85725</xdr:colOff>
                    <xdr:row>44</xdr:row>
                    <xdr:rowOff>0</xdr:rowOff>
                  </from>
                  <to>
                    <xdr:col>2</xdr:col>
                    <xdr:colOff>1171575</xdr:colOff>
                    <xdr:row>45</xdr:row>
                    <xdr:rowOff>28575</xdr:rowOff>
                  </to>
                </anchor>
              </controlPr>
            </control>
          </mc:Choice>
        </mc:AlternateContent>
        <mc:AlternateContent xmlns:mc="http://schemas.openxmlformats.org/markup-compatibility/2006">
          <mc:Choice Requires="x14">
            <control shapeId="4119" r:id="rId13" name="Check Box 23">
              <controlPr defaultSize="0" autoFill="0" autoLine="0" autoPict="0">
                <anchor moveWithCells="1">
                  <from>
                    <xdr:col>1</xdr:col>
                    <xdr:colOff>85725</xdr:colOff>
                    <xdr:row>41</xdr:row>
                    <xdr:rowOff>171450</xdr:rowOff>
                  </from>
                  <to>
                    <xdr:col>3</xdr:col>
                    <xdr:colOff>238125</xdr:colOff>
                    <xdr:row>42</xdr:row>
                    <xdr:rowOff>66675</xdr:rowOff>
                  </to>
                </anchor>
              </controlPr>
            </control>
          </mc:Choice>
        </mc:AlternateContent>
        <mc:AlternateContent xmlns:mc="http://schemas.openxmlformats.org/markup-compatibility/2006">
          <mc:Choice Requires="x14">
            <control shapeId="4120" r:id="rId14" name="Check Box 24">
              <controlPr defaultSize="0" autoFill="0" autoLine="0" autoPict="0">
                <anchor moveWithCells="1">
                  <from>
                    <xdr:col>1</xdr:col>
                    <xdr:colOff>85725</xdr:colOff>
                    <xdr:row>43</xdr:row>
                    <xdr:rowOff>28575</xdr:rowOff>
                  </from>
                  <to>
                    <xdr:col>3</xdr:col>
                    <xdr:colOff>238125</xdr:colOff>
                    <xdr:row>44</xdr:row>
                    <xdr:rowOff>0</xdr:rowOff>
                  </to>
                </anchor>
              </controlPr>
            </control>
          </mc:Choice>
        </mc:AlternateContent>
        <mc:AlternateContent xmlns:mc="http://schemas.openxmlformats.org/markup-compatibility/2006">
          <mc:Choice Requires="x14">
            <control shapeId="4121" r:id="rId15" name="Check Box 25">
              <controlPr defaultSize="0" autoFill="0" autoLine="0" autoPict="0">
                <anchor moveWithCells="1">
                  <from>
                    <xdr:col>1</xdr:col>
                    <xdr:colOff>95250</xdr:colOff>
                    <xdr:row>45</xdr:row>
                    <xdr:rowOff>9525</xdr:rowOff>
                  </from>
                  <to>
                    <xdr:col>2</xdr:col>
                    <xdr:colOff>571500</xdr:colOff>
                    <xdr:row>46</xdr:row>
                    <xdr:rowOff>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300A0-511A-40AD-B632-D439E78101E9}">
  <dimension ref="A1:W50"/>
  <sheetViews>
    <sheetView topLeftCell="A34" workbookViewId="0">
      <selection activeCell="E56" sqref="E56"/>
    </sheetView>
  </sheetViews>
  <sheetFormatPr defaultRowHeight="15" x14ac:dyDescent="0.25"/>
  <cols>
    <col min="1" max="1" width="6" customWidth="1"/>
    <col min="2" max="2" width="40.7109375" customWidth="1"/>
    <col min="3" max="3" width="24.85546875" customWidth="1"/>
    <col min="4" max="4" width="31.5703125" customWidth="1"/>
    <col min="5" max="5" width="40.28515625" customWidth="1"/>
    <col min="6" max="6" width="28.42578125" customWidth="1"/>
    <col min="7" max="7" width="22.28515625" customWidth="1"/>
    <col min="8" max="9" width="10.42578125" customWidth="1"/>
    <col min="10" max="10" width="16.42578125" customWidth="1"/>
    <col min="11" max="11" width="32.140625" customWidth="1"/>
    <col min="12" max="12" width="12.28515625" customWidth="1"/>
    <col min="13" max="13" width="10.7109375" customWidth="1"/>
    <col min="14" max="14" width="9.5703125" customWidth="1"/>
    <col min="15" max="15" width="8.140625" customWidth="1"/>
    <col min="16" max="16" width="8" customWidth="1"/>
    <col min="17" max="17" width="13.7109375" customWidth="1"/>
    <col min="18" max="18" width="15" customWidth="1"/>
    <col min="19" max="20" width="12.85546875"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29.25" customHeight="1" x14ac:dyDescent="0.25">
      <c r="B5" s="25" t="s">
        <v>79</v>
      </c>
      <c r="C5" s="160" t="s">
        <v>384</v>
      </c>
      <c r="E5" s="25" t="s">
        <v>83</v>
      </c>
      <c r="F5" s="20" t="s">
        <v>385</v>
      </c>
      <c r="H5" s="3"/>
      <c r="I5" s="3"/>
      <c r="J5" s="3"/>
    </row>
    <row r="6" spans="1:23" ht="32.25" customHeight="1" x14ac:dyDescent="0.25">
      <c r="B6" s="25" t="s">
        <v>80</v>
      </c>
      <c r="C6" s="53" t="s">
        <v>386</v>
      </c>
      <c r="E6" s="25" t="s">
        <v>84</v>
      </c>
      <c r="F6" s="20" t="s">
        <v>132</v>
      </c>
      <c r="H6" s="3"/>
      <c r="I6" s="3"/>
      <c r="J6" s="3"/>
    </row>
    <row r="7" spans="1:23" ht="18" customHeight="1" x14ac:dyDescent="0.25">
      <c r="B7" s="25" t="s">
        <v>81</v>
      </c>
      <c r="C7" s="160" t="s">
        <v>387</v>
      </c>
      <c r="H7" s="3"/>
      <c r="I7" s="3"/>
      <c r="J7" s="3"/>
    </row>
    <row r="8" spans="1:23" ht="56.25" customHeight="1" x14ac:dyDescent="0.25">
      <c r="B8" s="25" t="s">
        <v>82</v>
      </c>
      <c r="C8" s="53" t="s">
        <v>388</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33.75" customHeight="1" x14ac:dyDescent="0.3">
      <c r="B13" s="21" t="s">
        <v>48</v>
      </c>
      <c r="C13" s="21"/>
      <c r="D13" s="21"/>
      <c r="E13" s="21"/>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15" customHeight="1" x14ac:dyDescent="0.25">
      <c r="B17" s="365" t="s">
        <v>89</v>
      </c>
      <c r="C17" s="365" t="s">
        <v>90</v>
      </c>
      <c r="D17" s="365" t="s">
        <v>91</v>
      </c>
      <c r="E17" s="365" t="s">
        <v>92</v>
      </c>
      <c r="F17" s="364" t="s">
        <v>93</v>
      </c>
      <c r="G17" s="364"/>
      <c r="H17" s="364"/>
      <c r="I17" s="364"/>
      <c r="J17" s="364"/>
      <c r="K17" s="364" t="s">
        <v>94</v>
      </c>
    </row>
    <row r="18" spans="1:11" x14ac:dyDescent="0.25">
      <c r="B18" s="365"/>
      <c r="C18" s="365"/>
      <c r="D18" s="365"/>
      <c r="E18" s="365"/>
      <c r="F18" s="27" t="s">
        <v>51</v>
      </c>
      <c r="G18" s="27" t="s">
        <v>52</v>
      </c>
      <c r="H18" s="27" t="s">
        <v>0</v>
      </c>
      <c r="I18" s="27" t="s">
        <v>1</v>
      </c>
      <c r="J18" s="27" t="s">
        <v>3</v>
      </c>
      <c r="K18" s="364"/>
    </row>
    <row r="19" spans="1:11" ht="24.75" customHeight="1" x14ac:dyDescent="0.25">
      <c r="B19" s="161" t="s">
        <v>389</v>
      </c>
      <c r="C19" s="21" t="s">
        <v>390</v>
      </c>
      <c r="D19" s="21" t="s">
        <v>47</v>
      </c>
      <c r="E19" s="21" t="s">
        <v>341</v>
      </c>
      <c r="F19" s="21">
        <v>19</v>
      </c>
      <c r="G19" s="21">
        <v>19</v>
      </c>
      <c r="H19" s="162">
        <v>23</v>
      </c>
      <c r="I19" s="21">
        <v>23</v>
      </c>
      <c r="J19" s="21">
        <v>23</v>
      </c>
      <c r="K19" s="163" t="s">
        <v>391</v>
      </c>
    </row>
    <row r="20" spans="1:11" ht="39.75" customHeight="1" x14ac:dyDescent="0.25">
      <c r="B20" s="164" t="s">
        <v>392</v>
      </c>
      <c r="C20" s="21" t="s">
        <v>393</v>
      </c>
      <c r="D20" s="21" t="s">
        <v>44</v>
      </c>
      <c r="E20" s="21" t="s">
        <v>341</v>
      </c>
      <c r="F20" s="136"/>
      <c r="G20" s="136"/>
      <c r="H20" s="136">
        <v>2</v>
      </c>
      <c r="I20" s="136">
        <v>2</v>
      </c>
      <c r="J20" s="136">
        <v>2</v>
      </c>
      <c r="K20" s="165" t="s">
        <v>705</v>
      </c>
    </row>
    <row r="21" spans="1:11" ht="24.75" customHeight="1" x14ac:dyDescent="0.25">
      <c r="B21" s="166" t="s">
        <v>394</v>
      </c>
      <c r="C21" s="21" t="s">
        <v>395</v>
      </c>
      <c r="D21" s="21" t="s">
        <v>44</v>
      </c>
      <c r="E21" s="21" t="s">
        <v>341</v>
      </c>
      <c r="F21" s="21">
        <v>2434</v>
      </c>
      <c r="G21" s="21">
        <v>2558.6999999999998</v>
      </c>
      <c r="H21" s="136">
        <v>2560</v>
      </c>
      <c r="I21" s="136">
        <v>2560</v>
      </c>
      <c r="J21" s="136">
        <v>2560</v>
      </c>
      <c r="K21" s="163" t="s">
        <v>396</v>
      </c>
    </row>
    <row r="22" spans="1:11" ht="24.75" customHeight="1" x14ac:dyDescent="0.25">
      <c r="B22" s="166" t="s">
        <v>397</v>
      </c>
      <c r="C22" s="21" t="s">
        <v>395</v>
      </c>
      <c r="D22" s="21" t="s">
        <v>44</v>
      </c>
      <c r="E22" s="21" t="s">
        <v>341</v>
      </c>
      <c r="F22" s="21">
        <v>1441.7</v>
      </c>
      <c r="G22" s="136">
        <v>1162</v>
      </c>
      <c r="H22" s="136">
        <v>1630</v>
      </c>
      <c r="I22" s="136">
        <v>1630</v>
      </c>
      <c r="J22" s="136">
        <v>1630</v>
      </c>
      <c r="K22" s="163" t="s">
        <v>396</v>
      </c>
    </row>
    <row r="23" spans="1:11" ht="24.75" customHeight="1" x14ac:dyDescent="0.25">
      <c r="B23" s="166" t="s">
        <v>398</v>
      </c>
      <c r="C23" s="21" t="s">
        <v>395</v>
      </c>
      <c r="D23" s="21" t="s">
        <v>44</v>
      </c>
      <c r="E23" s="21" t="s">
        <v>341</v>
      </c>
      <c r="F23" s="136">
        <v>2562</v>
      </c>
      <c r="G23" s="136">
        <v>2562</v>
      </c>
      <c r="H23" s="136">
        <v>2560</v>
      </c>
      <c r="I23" s="136">
        <v>2600</v>
      </c>
      <c r="J23" s="136">
        <v>2600</v>
      </c>
      <c r="K23" s="163" t="s">
        <v>396</v>
      </c>
    </row>
    <row r="24" spans="1:11" ht="69" customHeight="1" x14ac:dyDescent="0.25">
      <c r="B24" s="167" t="s">
        <v>399</v>
      </c>
      <c r="C24" s="21" t="s">
        <v>395</v>
      </c>
      <c r="D24" s="21" t="s">
        <v>44</v>
      </c>
      <c r="E24" s="21" t="s">
        <v>341</v>
      </c>
      <c r="F24" s="136">
        <v>228</v>
      </c>
      <c r="G24" s="136">
        <v>383</v>
      </c>
      <c r="H24" s="136">
        <v>250</v>
      </c>
      <c r="I24" s="136">
        <v>210</v>
      </c>
      <c r="J24" s="136">
        <v>210</v>
      </c>
      <c r="K24" s="163" t="s">
        <v>400</v>
      </c>
    </row>
    <row r="25" spans="1:11" ht="54.6" customHeight="1" x14ac:dyDescent="0.25">
      <c r="B25" s="164" t="s">
        <v>401</v>
      </c>
      <c r="C25" s="21" t="s">
        <v>395</v>
      </c>
      <c r="D25" s="21" t="s">
        <v>44</v>
      </c>
      <c r="E25" s="21" t="s">
        <v>341</v>
      </c>
      <c r="F25" s="21"/>
      <c r="G25" s="21"/>
      <c r="H25" s="136">
        <v>3000</v>
      </c>
      <c r="I25" s="136">
        <v>3000</v>
      </c>
      <c r="J25" s="136">
        <v>3000</v>
      </c>
      <c r="K25" s="163" t="s">
        <v>402</v>
      </c>
    </row>
    <row r="26" spans="1:11" ht="35.25" customHeight="1" x14ac:dyDescent="0.25">
      <c r="B26" s="168" t="s">
        <v>176</v>
      </c>
      <c r="C26" s="21" t="s">
        <v>395</v>
      </c>
      <c r="D26" s="21" t="s">
        <v>44</v>
      </c>
      <c r="E26" s="21" t="s">
        <v>403</v>
      </c>
      <c r="F26" s="21"/>
      <c r="G26" s="21"/>
      <c r="H26" s="136">
        <v>26624</v>
      </c>
      <c r="I26" s="136">
        <v>26624</v>
      </c>
      <c r="J26" s="136">
        <v>26624</v>
      </c>
      <c r="K26" s="163"/>
    </row>
    <row r="27" spans="1:11" ht="30" customHeight="1" x14ac:dyDescent="0.25">
      <c r="A27" s="16" t="s">
        <v>704</v>
      </c>
      <c r="B27" s="169"/>
      <c r="C27" s="170"/>
      <c r="D27" s="170"/>
      <c r="E27" s="170"/>
      <c r="F27" s="170"/>
      <c r="G27" s="170"/>
      <c r="H27" s="171"/>
      <c r="I27" s="171"/>
      <c r="J27" s="171"/>
      <c r="K27" s="172"/>
    </row>
    <row r="28" spans="1:11" x14ac:dyDescent="0.25">
      <c r="A28" s="16"/>
      <c r="C28" s="15"/>
      <c r="D28" s="15"/>
      <c r="E28" s="15"/>
      <c r="F28" s="15"/>
      <c r="G28" s="15"/>
      <c r="H28" s="15"/>
      <c r="I28" s="15"/>
      <c r="J28" s="15"/>
    </row>
    <row r="29" spans="1:11" x14ac:dyDescent="0.25">
      <c r="A29" s="16"/>
      <c r="C29" s="17"/>
      <c r="D29" s="17"/>
      <c r="E29" s="13"/>
      <c r="F29" s="13"/>
      <c r="G29" s="13"/>
      <c r="H29" s="35"/>
      <c r="I29" s="13"/>
      <c r="J29" s="13"/>
    </row>
    <row r="30" spans="1:11" ht="17.25" customHeight="1" x14ac:dyDescent="0.25">
      <c r="B30" s="17"/>
      <c r="C30" s="17"/>
      <c r="D30" s="17"/>
      <c r="E30" s="13"/>
      <c r="F30" s="13"/>
      <c r="G30" s="13"/>
      <c r="H30" s="13"/>
      <c r="I30" s="13"/>
      <c r="J30" s="13"/>
    </row>
    <row r="31" spans="1:11" ht="20.25" customHeight="1" x14ac:dyDescent="0.25">
      <c r="B31" s="17"/>
      <c r="C31" s="17"/>
      <c r="D31" s="17"/>
      <c r="E31" s="13"/>
      <c r="F31" s="13"/>
      <c r="G31" s="13"/>
      <c r="H31" s="13"/>
      <c r="I31" s="13"/>
      <c r="J31" s="13"/>
    </row>
    <row r="32" spans="1:11" ht="21" customHeight="1" x14ac:dyDescent="0.25">
      <c r="A32" s="16" t="s">
        <v>55</v>
      </c>
      <c r="E32" s="13"/>
      <c r="F32" s="13"/>
      <c r="G32" s="13"/>
      <c r="H32" s="13"/>
      <c r="I32" s="13"/>
      <c r="J32" s="13"/>
    </row>
    <row r="33" spans="1:19" x14ac:dyDescent="0.25">
      <c r="B33" s="360"/>
      <c r="C33" s="361"/>
      <c r="D33" s="361"/>
      <c r="E33" s="362"/>
      <c r="F33" s="13"/>
      <c r="G33" s="13"/>
      <c r="H33" s="13"/>
      <c r="I33" s="13"/>
      <c r="J33" s="13"/>
    </row>
    <row r="34" spans="1:19" ht="17.25" x14ac:dyDescent="0.25">
      <c r="B34" s="3"/>
      <c r="C34" s="3"/>
      <c r="D34" s="3"/>
      <c r="E34" s="13"/>
      <c r="F34" s="13"/>
      <c r="G34" s="13"/>
      <c r="H34" s="13"/>
      <c r="I34" s="13"/>
      <c r="J34" s="13"/>
    </row>
    <row r="35" spans="1:19" x14ac:dyDescent="0.25">
      <c r="A35" s="7" t="s">
        <v>56</v>
      </c>
    </row>
    <row r="37" spans="1:19" ht="43.5" customHeight="1" x14ac:dyDescent="0.25">
      <c r="B37" s="363" t="s">
        <v>95</v>
      </c>
      <c r="C37" s="4" t="s">
        <v>96</v>
      </c>
      <c r="D37" s="4" t="s">
        <v>97</v>
      </c>
      <c r="E37" s="358" t="s">
        <v>98</v>
      </c>
      <c r="F37" s="358"/>
      <c r="G37" s="358"/>
      <c r="H37" s="358" t="s">
        <v>99</v>
      </c>
      <c r="I37" s="358"/>
      <c r="J37" s="358"/>
      <c r="K37" s="358" t="s">
        <v>100</v>
      </c>
      <c r="L37" s="358"/>
      <c r="M37" s="358"/>
      <c r="N37" s="358" t="s">
        <v>101</v>
      </c>
      <c r="O37" s="358"/>
      <c r="P37" s="358"/>
      <c r="Q37" s="359" t="s">
        <v>102</v>
      </c>
      <c r="R37" s="359"/>
      <c r="S37" s="359"/>
    </row>
    <row r="38" spans="1:19" ht="30" customHeight="1" x14ac:dyDescent="0.25">
      <c r="B38" s="363"/>
      <c r="C38" s="4" t="s">
        <v>35</v>
      </c>
      <c r="D38" s="4" t="s">
        <v>36</v>
      </c>
      <c r="E38" s="19" t="s">
        <v>0</v>
      </c>
      <c r="F38" s="19" t="s">
        <v>1</v>
      </c>
      <c r="G38" s="19" t="s">
        <v>3</v>
      </c>
      <c r="H38" s="19" t="s">
        <v>0</v>
      </c>
      <c r="I38" s="19" t="s">
        <v>1</v>
      </c>
      <c r="J38" s="19" t="s">
        <v>3</v>
      </c>
      <c r="K38" s="19" t="s">
        <v>39</v>
      </c>
      <c r="L38" s="19" t="s">
        <v>38</v>
      </c>
      <c r="M38" s="19" t="s">
        <v>37</v>
      </c>
      <c r="N38" s="19" t="s">
        <v>39</v>
      </c>
      <c r="O38" s="19" t="s">
        <v>38</v>
      </c>
      <c r="P38" s="19" t="s">
        <v>37</v>
      </c>
      <c r="Q38" s="26" t="s">
        <v>0</v>
      </c>
      <c r="R38" s="26" t="s">
        <v>1</v>
      </c>
      <c r="S38" s="26" t="s">
        <v>3</v>
      </c>
    </row>
    <row r="39" spans="1:19" ht="27.75" customHeight="1" x14ac:dyDescent="0.25">
      <c r="B39" s="22" t="s">
        <v>404</v>
      </c>
      <c r="C39" s="51">
        <v>41400</v>
      </c>
      <c r="D39" s="51">
        <v>41400</v>
      </c>
      <c r="E39" s="93">
        <v>59400</v>
      </c>
      <c r="F39" s="93">
        <v>59400</v>
      </c>
      <c r="G39" s="93">
        <v>59400</v>
      </c>
      <c r="H39" s="93">
        <v>22320</v>
      </c>
      <c r="I39" s="93">
        <v>22320</v>
      </c>
      <c r="J39" s="93">
        <v>22320</v>
      </c>
      <c r="K39" s="52">
        <f t="shared" ref="K39:L44" si="0">C39+E39+H39</f>
        <v>123120</v>
      </c>
      <c r="L39" s="52">
        <f t="shared" si="0"/>
        <v>123120</v>
      </c>
      <c r="M39" s="52">
        <f t="shared" ref="M39:M44" si="1">C39+G39+J39</f>
        <v>123120</v>
      </c>
      <c r="N39" s="93"/>
      <c r="O39" s="93"/>
      <c r="P39" s="93"/>
      <c r="Q39" s="70">
        <f t="shared" ref="Q39:S45" si="2">K39+N39</f>
        <v>123120</v>
      </c>
      <c r="R39" s="70">
        <f t="shared" si="2"/>
        <v>123120</v>
      </c>
      <c r="S39" s="70">
        <f t="shared" si="2"/>
        <v>123120</v>
      </c>
    </row>
    <row r="40" spans="1:19" ht="21" customHeight="1" x14ac:dyDescent="0.25">
      <c r="B40" s="22" t="s">
        <v>394</v>
      </c>
      <c r="C40" s="90">
        <v>2434</v>
      </c>
      <c r="D40" s="90">
        <v>2558.6999999999998</v>
      </c>
      <c r="E40" s="90">
        <f>H21-F21</f>
        <v>126</v>
      </c>
      <c r="F40" s="90">
        <f>I21-F21</f>
        <v>126</v>
      </c>
      <c r="G40" s="90">
        <f>J21-F21</f>
        <v>126</v>
      </c>
      <c r="H40" s="93"/>
      <c r="I40" s="93"/>
      <c r="J40" s="93"/>
      <c r="K40" s="52">
        <f t="shared" si="0"/>
        <v>2560</v>
      </c>
      <c r="L40" s="52">
        <f t="shared" ref="L40:L44" si="3">C40+F40+I40</f>
        <v>2560</v>
      </c>
      <c r="M40" s="52">
        <f t="shared" si="1"/>
        <v>2560</v>
      </c>
      <c r="N40" s="93"/>
      <c r="O40" s="93"/>
      <c r="P40" s="93"/>
      <c r="Q40" s="70">
        <f t="shared" si="2"/>
        <v>2560</v>
      </c>
      <c r="R40" s="70">
        <f t="shared" si="2"/>
        <v>2560</v>
      </c>
      <c r="S40" s="70">
        <f t="shared" si="2"/>
        <v>2560</v>
      </c>
    </row>
    <row r="41" spans="1:19" ht="19.899999999999999" customHeight="1" x14ac:dyDescent="0.25">
      <c r="B41" s="22" t="s">
        <v>405</v>
      </c>
      <c r="C41" s="90">
        <v>1441.7</v>
      </c>
      <c r="D41" s="90">
        <v>1162</v>
      </c>
      <c r="E41" s="90">
        <f>H22-F22</f>
        <v>188.29999999999995</v>
      </c>
      <c r="F41" s="90">
        <f>I22-F22</f>
        <v>188.29999999999995</v>
      </c>
      <c r="G41" s="90">
        <f>J22-F22</f>
        <v>188.29999999999995</v>
      </c>
      <c r="H41" s="93"/>
      <c r="I41" s="93"/>
      <c r="J41" s="93"/>
      <c r="K41" s="52">
        <f t="shared" si="0"/>
        <v>1630</v>
      </c>
      <c r="L41" s="52">
        <f t="shared" si="3"/>
        <v>1630</v>
      </c>
      <c r="M41" s="52">
        <f t="shared" si="1"/>
        <v>1630</v>
      </c>
      <c r="N41" s="93"/>
      <c r="O41" s="93"/>
      <c r="P41" s="93"/>
      <c r="Q41" s="70">
        <f t="shared" si="2"/>
        <v>1630</v>
      </c>
      <c r="R41" s="70">
        <f t="shared" si="2"/>
        <v>1630</v>
      </c>
      <c r="S41" s="70">
        <f t="shared" si="2"/>
        <v>1630</v>
      </c>
    </row>
    <row r="42" spans="1:19" ht="19.899999999999999" customHeight="1" x14ac:dyDescent="0.25">
      <c r="B42" s="22" t="s">
        <v>398</v>
      </c>
      <c r="C42" s="90">
        <v>2562</v>
      </c>
      <c r="D42" s="90">
        <v>2562</v>
      </c>
      <c r="E42" s="90">
        <f>H23-F23</f>
        <v>-2</v>
      </c>
      <c r="F42" s="90">
        <f>I23-F23</f>
        <v>38</v>
      </c>
      <c r="G42" s="90">
        <f>J23-F23</f>
        <v>38</v>
      </c>
      <c r="H42" s="93"/>
      <c r="I42" s="93"/>
      <c r="J42" s="93"/>
      <c r="K42" s="52">
        <f t="shared" si="0"/>
        <v>2560</v>
      </c>
      <c r="L42" s="52">
        <f t="shared" si="3"/>
        <v>2600</v>
      </c>
      <c r="M42" s="52">
        <f t="shared" si="1"/>
        <v>2600</v>
      </c>
      <c r="N42" s="93"/>
      <c r="O42" s="93"/>
      <c r="P42" s="93"/>
      <c r="Q42" s="70">
        <f t="shared" si="2"/>
        <v>2560</v>
      </c>
      <c r="R42" s="70">
        <f t="shared" si="2"/>
        <v>2600</v>
      </c>
      <c r="S42" s="70">
        <f t="shared" si="2"/>
        <v>2600</v>
      </c>
    </row>
    <row r="43" spans="1:19" ht="19.899999999999999" customHeight="1" x14ac:dyDescent="0.25">
      <c r="B43" s="22" t="s">
        <v>406</v>
      </c>
      <c r="C43" s="90">
        <v>228</v>
      </c>
      <c r="D43" s="90">
        <v>383</v>
      </c>
      <c r="E43" s="90">
        <f>H24-F24</f>
        <v>22</v>
      </c>
      <c r="F43" s="90">
        <f>I24-F24</f>
        <v>-18</v>
      </c>
      <c r="G43" s="90">
        <f>J24-F24</f>
        <v>-18</v>
      </c>
      <c r="H43" s="93"/>
      <c r="I43" s="93"/>
      <c r="J43" s="93"/>
      <c r="K43" s="52">
        <f t="shared" si="0"/>
        <v>250</v>
      </c>
      <c r="L43" s="52">
        <f t="shared" si="3"/>
        <v>210</v>
      </c>
      <c r="M43" s="52">
        <f t="shared" si="1"/>
        <v>210</v>
      </c>
      <c r="N43" s="93"/>
      <c r="O43" s="93"/>
      <c r="P43" s="93"/>
      <c r="Q43" s="70">
        <f t="shared" si="2"/>
        <v>250</v>
      </c>
      <c r="R43" s="70">
        <f t="shared" si="2"/>
        <v>210</v>
      </c>
      <c r="S43" s="70">
        <f t="shared" si="2"/>
        <v>210</v>
      </c>
    </row>
    <row r="44" spans="1:19" ht="31.5" customHeight="1" x14ac:dyDescent="0.25">
      <c r="B44" s="22" t="s">
        <v>407</v>
      </c>
      <c r="C44" s="51">
        <v>0</v>
      </c>
      <c r="D44" s="51">
        <v>0</v>
      </c>
      <c r="E44" s="90">
        <f>H25-F25</f>
        <v>3000</v>
      </c>
      <c r="F44" s="90">
        <f>I25-F25</f>
        <v>3000</v>
      </c>
      <c r="G44" s="90">
        <f>J25-F25</f>
        <v>3000</v>
      </c>
      <c r="H44" s="93"/>
      <c r="I44" s="93"/>
      <c r="J44" s="93"/>
      <c r="K44" s="52">
        <f t="shared" si="0"/>
        <v>3000</v>
      </c>
      <c r="L44" s="52">
        <f t="shared" si="3"/>
        <v>3000</v>
      </c>
      <c r="M44" s="52">
        <f t="shared" si="1"/>
        <v>3000</v>
      </c>
      <c r="N44" s="93"/>
      <c r="O44" s="93"/>
      <c r="P44" s="93"/>
      <c r="Q44" s="70">
        <f t="shared" si="2"/>
        <v>3000</v>
      </c>
      <c r="R44" s="70">
        <f t="shared" si="2"/>
        <v>3000</v>
      </c>
      <c r="S44" s="70">
        <f t="shared" si="2"/>
        <v>3000</v>
      </c>
    </row>
    <row r="45" spans="1:19" ht="31.5" customHeight="1" x14ac:dyDescent="0.25">
      <c r="B45" s="22" t="s">
        <v>176</v>
      </c>
      <c r="C45" s="51">
        <v>0</v>
      </c>
      <c r="D45" s="51">
        <v>0</v>
      </c>
      <c r="E45" s="90">
        <v>26624</v>
      </c>
      <c r="F45" s="90">
        <v>26624</v>
      </c>
      <c r="G45" s="90">
        <v>26624</v>
      </c>
      <c r="H45" s="93"/>
      <c r="I45" s="93"/>
      <c r="J45" s="93"/>
      <c r="K45" s="52">
        <f>+C45+E45+H45</f>
        <v>26624</v>
      </c>
      <c r="L45" s="52">
        <f>+C45+F45+I45</f>
        <v>26624</v>
      </c>
      <c r="M45" s="52">
        <f>+C45+G45+J45</f>
        <v>26624</v>
      </c>
      <c r="N45" s="93"/>
      <c r="O45" s="93"/>
      <c r="P45" s="93"/>
      <c r="Q45" s="70">
        <f t="shared" si="2"/>
        <v>26624</v>
      </c>
      <c r="R45" s="70">
        <f t="shared" si="2"/>
        <v>26624</v>
      </c>
      <c r="S45" s="70">
        <f t="shared" si="2"/>
        <v>26624</v>
      </c>
    </row>
    <row r="46" spans="1:19" ht="28.5" x14ac:dyDescent="0.25">
      <c r="B46" s="18" t="s">
        <v>73</v>
      </c>
      <c r="C46" s="51">
        <f>+C39+C40+C41+C42+C43+C44+C45</f>
        <v>48065.7</v>
      </c>
      <c r="D46" s="51">
        <f>+D39+D40+D41+D42+D43+D44+D45</f>
        <v>48065.7</v>
      </c>
      <c r="E46" s="52">
        <f>SUM(E39:E45)</f>
        <v>89358.3</v>
      </c>
      <c r="F46" s="52">
        <f t="shared" ref="F46:J46" si="4">SUM(F39:F45)</f>
        <v>89358.3</v>
      </c>
      <c r="G46" s="52">
        <f t="shared" si="4"/>
        <v>89358.3</v>
      </c>
      <c r="H46" s="52">
        <f t="shared" si="4"/>
        <v>22320</v>
      </c>
      <c r="I46" s="52">
        <f t="shared" si="4"/>
        <v>22320</v>
      </c>
      <c r="J46" s="52">
        <f t="shared" si="4"/>
        <v>22320</v>
      </c>
      <c r="K46" s="52">
        <f>C46+E46+H46</f>
        <v>159744</v>
      </c>
      <c r="L46" s="52">
        <f>C46+F46+I46</f>
        <v>159744</v>
      </c>
      <c r="M46" s="52">
        <f>C46+G46+J46</f>
        <v>159744</v>
      </c>
      <c r="N46" s="82" t="s">
        <v>2</v>
      </c>
      <c r="O46" s="82" t="s">
        <v>2</v>
      </c>
      <c r="P46" s="82" t="s">
        <v>2</v>
      </c>
      <c r="Q46" s="70" t="s">
        <v>2</v>
      </c>
      <c r="R46" s="70" t="s">
        <v>2</v>
      </c>
      <c r="S46" s="70" t="s">
        <v>2</v>
      </c>
    </row>
    <row r="47" spans="1:19" ht="28.5" x14ac:dyDescent="0.25">
      <c r="B47" s="18" t="s">
        <v>60</v>
      </c>
      <c r="C47" s="51"/>
      <c r="D47" s="51"/>
      <c r="E47" s="52" t="s">
        <v>72</v>
      </c>
      <c r="F47" s="52" t="s">
        <v>72</v>
      </c>
      <c r="G47" s="52" t="s">
        <v>72</v>
      </c>
      <c r="H47" s="52" t="s">
        <v>72</v>
      </c>
      <c r="I47" s="52" t="s">
        <v>72</v>
      </c>
      <c r="J47" s="52" t="s">
        <v>72</v>
      </c>
      <c r="K47" s="52">
        <f>C47</f>
        <v>0</v>
      </c>
      <c r="L47" s="52">
        <f>C47</f>
        <v>0</v>
      </c>
      <c r="M47" s="52">
        <f>C47</f>
        <v>0</v>
      </c>
      <c r="N47" s="82" t="s">
        <v>2</v>
      </c>
      <c r="O47" s="82" t="s">
        <v>2</v>
      </c>
      <c r="P47" s="82" t="s">
        <v>2</v>
      </c>
      <c r="Q47" s="70" t="s">
        <v>2</v>
      </c>
      <c r="R47" s="70" t="s">
        <v>2</v>
      </c>
      <c r="S47" s="70" t="s">
        <v>2</v>
      </c>
    </row>
    <row r="48" spans="1:19" s="199" customFormat="1" x14ac:dyDescent="0.25">
      <c r="B48" s="246" t="s">
        <v>698</v>
      </c>
      <c r="C48" s="259">
        <f>+C46+C47</f>
        <v>48065.7</v>
      </c>
      <c r="D48" s="259">
        <f>+D46+D47</f>
        <v>48065.7</v>
      </c>
      <c r="E48" s="259">
        <f>E46</f>
        <v>89358.3</v>
      </c>
      <c r="F48" s="259">
        <f t="shared" ref="F48:J48" si="5">F46</f>
        <v>89358.3</v>
      </c>
      <c r="G48" s="259">
        <f t="shared" si="5"/>
        <v>89358.3</v>
      </c>
      <c r="H48" s="259">
        <f t="shared" si="5"/>
        <v>22320</v>
      </c>
      <c r="I48" s="259">
        <f t="shared" si="5"/>
        <v>22320</v>
      </c>
      <c r="J48" s="259">
        <f t="shared" si="5"/>
        <v>22320</v>
      </c>
      <c r="K48" s="260">
        <f>K46+K47</f>
        <v>159744</v>
      </c>
      <c r="L48" s="260">
        <f t="shared" ref="L48:M48" si="6">L46+L47</f>
        <v>159744</v>
      </c>
      <c r="M48" s="260">
        <f t="shared" si="6"/>
        <v>159744</v>
      </c>
      <c r="N48" s="260">
        <f>SUM(N39:N44)</f>
        <v>0</v>
      </c>
      <c r="O48" s="260">
        <f t="shared" ref="O48:P48" si="7">SUM(O39:O44)</f>
        <v>0</v>
      </c>
      <c r="P48" s="260">
        <f t="shared" si="7"/>
        <v>0</v>
      </c>
      <c r="Q48" s="263">
        <f>K48+N48</f>
        <v>159744</v>
      </c>
      <c r="R48" s="263">
        <f>L48+O48</f>
        <v>159744</v>
      </c>
      <c r="S48" s="263">
        <f>M48+P48</f>
        <v>159744</v>
      </c>
    </row>
    <row r="50" spans="11:11" x14ac:dyDescent="0.25">
      <c r="K50" s="301">
        <v>133120</v>
      </c>
    </row>
  </sheetData>
  <mergeCells count="13">
    <mergeCell ref="K17:K18"/>
    <mergeCell ref="B17:B18"/>
    <mergeCell ref="C17:C18"/>
    <mergeCell ref="D17:D18"/>
    <mergeCell ref="E17:E18"/>
    <mergeCell ref="F17:J17"/>
    <mergeCell ref="Q37:S37"/>
    <mergeCell ref="B33:E33"/>
    <mergeCell ref="B37:B38"/>
    <mergeCell ref="E37:G37"/>
    <mergeCell ref="H37:J37"/>
    <mergeCell ref="K37:M37"/>
    <mergeCell ref="N37:P37"/>
  </mergeCells>
  <phoneticPr fontId="46" type="noConversion"/>
  <dataValidations count="4">
    <dataValidation type="custom" allowBlank="1" showInputMessage="1" showErrorMessage="1" sqref="N39:P45" xr:uid="{26EDC6D4-9146-4CEB-AEB9-538A5DED7474}">
      <formula1>"-"</formula1>
    </dataValidation>
    <dataValidation type="list" allowBlank="1" showInputMessage="1" showErrorMessage="1" sqref="B13" xr:uid="{AFDD66B6-30FA-41C1-B2CD-C1D53049F970}">
      <formula1>$U$2:$U$4</formula1>
    </dataValidation>
    <dataValidation type="list" allowBlank="1" showInputMessage="1" showErrorMessage="1" sqref="D19:D27" xr:uid="{07714032-6001-4FB2-ACBC-A8AC275E4D9D}">
      <formula1>$V$2:$V$3</formula1>
    </dataValidation>
    <dataValidation showInputMessage="1" showErrorMessage="1" sqref="E19:E27 F25:K27" xr:uid="{D22BAB5E-BF20-40D5-A0EC-C81ECE6FED60}"/>
  </dataValidations>
  <hyperlinks>
    <hyperlink ref="C12" location="_ftn1" display="_ftn1" xr:uid="{90B24ED7-BEF6-4881-994B-A31100F32F0F}"/>
    <hyperlink ref="D12" location="_ftn2" display="_ftn2" xr:uid="{17FA0571-5124-4E93-808A-D72E4C00A786}"/>
    <hyperlink ref="E12" location="_ftn3" display="_ftn3" xr:uid="{23A23FF6-01B6-43B8-96D6-ED82E3B7E2B6}"/>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3553" r:id="rId3" name="Check Box 1">
              <controlPr defaultSize="0" autoFill="0" autoLine="0" autoPict="0">
                <anchor moveWithCells="1">
                  <from>
                    <xdr:col>1</xdr:col>
                    <xdr:colOff>85725</xdr:colOff>
                    <xdr:row>29</xdr:row>
                    <xdr:rowOff>0</xdr:rowOff>
                  </from>
                  <to>
                    <xdr:col>2</xdr:col>
                    <xdr:colOff>666750</xdr:colOff>
                    <xdr:row>30</xdr:row>
                    <xdr:rowOff>28575</xdr:rowOff>
                  </to>
                </anchor>
              </controlPr>
            </control>
          </mc:Choice>
        </mc:AlternateContent>
        <mc:AlternateContent xmlns:mc="http://schemas.openxmlformats.org/markup-compatibility/2006">
          <mc:Choice Requires="x14">
            <control shapeId="23554" r:id="rId4" name="Check Box 2">
              <controlPr defaultSize="0" autoFill="0" autoLine="0" autoPict="0">
                <anchor moveWithCells="1">
                  <from>
                    <xdr:col>1</xdr:col>
                    <xdr:colOff>85725</xdr:colOff>
                    <xdr:row>27</xdr:row>
                    <xdr:rowOff>0</xdr:rowOff>
                  </from>
                  <to>
                    <xdr:col>2</xdr:col>
                    <xdr:colOff>1419225</xdr:colOff>
                    <xdr:row>28</xdr:row>
                    <xdr:rowOff>66675</xdr:rowOff>
                  </to>
                </anchor>
              </controlPr>
            </control>
          </mc:Choice>
        </mc:AlternateContent>
        <mc:AlternateContent xmlns:mc="http://schemas.openxmlformats.org/markup-compatibility/2006">
          <mc:Choice Requires="x14">
            <control shapeId="23555" r:id="rId5" name="Check Box 3">
              <controlPr defaultSize="0" autoFill="0" autoLine="0" autoPict="0">
                <anchor moveWithCells="1">
                  <from>
                    <xdr:col>1</xdr:col>
                    <xdr:colOff>95250</xdr:colOff>
                    <xdr:row>30</xdr:row>
                    <xdr:rowOff>9525</xdr:rowOff>
                  </from>
                  <to>
                    <xdr:col>2</xdr:col>
                    <xdr:colOff>66675</xdr:colOff>
                    <xdr:row>31</xdr:row>
                    <xdr:rowOff>9525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FA66-52A1-4A66-9176-B80DB14A8B31}">
  <dimension ref="A1:W44"/>
  <sheetViews>
    <sheetView workbookViewId="0">
      <selection activeCell="C13" sqref="C13"/>
    </sheetView>
  </sheetViews>
  <sheetFormatPr defaultRowHeight="15" x14ac:dyDescent="0.25"/>
  <cols>
    <col min="1" max="1" width="6" customWidth="1"/>
    <col min="2" max="2" width="33.140625" customWidth="1"/>
    <col min="3" max="3" width="52.7109375" customWidth="1"/>
    <col min="4" max="4" width="31.5703125" customWidth="1"/>
    <col min="5" max="5" width="40.28515625" customWidth="1"/>
    <col min="6" max="6" width="28.42578125" customWidth="1"/>
    <col min="7" max="7" width="22.28515625" customWidth="1"/>
    <col min="8" max="9" width="10.42578125" customWidth="1"/>
    <col min="10" max="10" width="16.42578125" customWidth="1"/>
    <col min="11" max="11" width="14.28515625" customWidth="1"/>
    <col min="12" max="12" width="11.42578125" customWidth="1"/>
    <col min="13" max="13" width="10.42578125" customWidth="1"/>
    <col min="14" max="14" width="9.5703125" customWidth="1"/>
    <col min="15" max="15" width="8.140625" customWidth="1"/>
    <col min="16" max="16" width="8" customWidth="1"/>
    <col min="17" max="19" width="10.5703125"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1067</v>
      </c>
      <c r="E5" s="25" t="s">
        <v>83</v>
      </c>
      <c r="F5" s="58" t="s">
        <v>385</v>
      </c>
      <c r="H5" s="3"/>
      <c r="I5" s="3"/>
      <c r="J5" s="3"/>
    </row>
    <row r="6" spans="1:23" ht="48" customHeight="1" x14ac:dyDescent="0.25">
      <c r="B6" s="25" t="s">
        <v>80</v>
      </c>
      <c r="C6" s="217" t="s">
        <v>584</v>
      </c>
      <c r="E6" s="25" t="s">
        <v>84</v>
      </c>
      <c r="F6" s="58" t="s">
        <v>245</v>
      </c>
      <c r="H6" s="3"/>
      <c r="I6" s="3"/>
      <c r="J6" s="3"/>
    </row>
    <row r="7" spans="1:23" ht="18" customHeight="1" x14ac:dyDescent="0.25">
      <c r="B7" s="25" t="s">
        <v>81</v>
      </c>
      <c r="C7" s="20">
        <v>11001</v>
      </c>
      <c r="H7" s="3"/>
      <c r="I7" s="3"/>
      <c r="J7" s="3"/>
    </row>
    <row r="8" spans="1:23" ht="31.5" customHeight="1" x14ac:dyDescent="0.25">
      <c r="B8" s="25" t="s">
        <v>82</v>
      </c>
      <c r="C8" s="217" t="s">
        <v>585</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176.25" customHeight="1" x14ac:dyDescent="0.3">
      <c r="B13" s="132" t="s">
        <v>586</v>
      </c>
      <c r="C13" s="132" t="s">
        <v>587</v>
      </c>
      <c r="D13" s="132" t="s">
        <v>588</v>
      </c>
      <c r="E13" s="132" t="s">
        <v>589</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15" customHeight="1" x14ac:dyDescent="0.25">
      <c r="B17" s="365" t="s">
        <v>89</v>
      </c>
      <c r="C17" s="365" t="s">
        <v>90</v>
      </c>
      <c r="D17" s="365" t="s">
        <v>91</v>
      </c>
      <c r="E17" s="365" t="s">
        <v>92</v>
      </c>
      <c r="F17" s="364" t="s">
        <v>93</v>
      </c>
      <c r="G17" s="364"/>
      <c r="H17" s="364"/>
      <c r="I17" s="364"/>
      <c r="J17" s="364"/>
      <c r="K17" s="364" t="s">
        <v>94</v>
      </c>
    </row>
    <row r="18" spans="1:11" ht="42.75" customHeight="1" x14ac:dyDescent="0.25">
      <c r="B18" s="365"/>
      <c r="C18" s="365"/>
      <c r="D18" s="365"/>
      <c r="E18" s="365"/>
      <c r="F18" s="27" t="s">
        <v>51</v>
      </c>
      <c r="G18" s="27" t="s">
        <v>52</v>
      </c>
      <c r="H18" s="27" t="s">
        <v>0</v>
      </c>
      <c r="I18" s="27" t="s">
        <v>1</v>
      </c>
      <c r="J18" s="27" t="s">
        <v>3</v>
      </c>
      <c r="K18" s="364"/>
    </row>
    <row r="19" spans="1:11" ht="15" customHeight="1" x14ac:dyDescent="0.25">
      <c r="B19" s="21" t="s">
        <v>590</v>
      </c>
      <c r="C19" s="134" t="s">
        <v>591</v>
      </c>
      <c r="D19" s="134" t="s">
        <v>592</v>
      </c>
      <c r="E19" s="21"/>
      <c r="F19" s="31">
        <v>5</v>
      </c>
      <c r="G19" s="31">
        <v>5</v>
      </c>
      <c r="H19" s="31">
        <v>5</v>
      </c>
      <c r="I19" s="31">
        <v>5</v>
      </c>
      <c r="J19" s="31">
        <v>5</v>
      </c>
      <c r="K19" s="21"/>
    </row>
    <row r="20" spans="1:11" ht="31.5" customHeight="1" x14ac:dyDescent="0.25">
      <c r="B20" s="133" t="s">
        <v>593</v>
      </c>
      <c r="C20" s="134" t="s">
        <v>382</v>
      </c>
      <c r="D20" s="134" t="s">
        <v>594</v>
      </c>
      <c r="E20" s="217" t="s">
        <v>595</v>
      </c>
      <c r="F20" s="218">
        <v>11769.5</v>
      </c>
      <c r="G20" s="218">
        <v>11769.5</v>
      </c>
      <c r="H20" s="218">
        <v>11769.5</v>
      </c>
      <c r="I20" s="218">
        <v>11769.5</v>
      </c>
      <c r="J20" s="218">
        <v>11769.5</v>
      </c>
      <c r="K20" s="21"/>
    </row>
    <row r="21" spans="1:11" x14ac:dyDescent="0.25">
      <c r="B21" s="133" t="s">
        <v>596</v>
      </c>
      <c r="C21" s="134" t="s">
        <v>382</v>
      </c>
      <c r="D21" s="134" t="s">
        <v>594</v>
      </c>
      <c r="E21" s="217"/>
      <c r="F21" s="218">
        <v>2353.9</v>
      </c>
      <c r="G21" s="218">
        <v>2353.9</v>
      </c>
      <c r="H21" s="218">
        <v>2353.9</v>
      </c>
      <c r="I21" s="218">
        <v>2353.9</v>
      </c>
      <c r="J21" s="218">
        <v>2353.9</v>
      </c>
      <c r="K21" s="21"/>
    </row>
    <row r="22" spans="1:11" ht="17.25" x14ac:dyDescent="0.25">
      <c r="B22" s="3"/>
      <c r="C22" s="3"/>
      <c r="D22" s="3"/>
      <c r="E22" s="3"/>
      <c r="F22" s="3"/>
      <c r="G22" s="3"/>
      <c r="H22" s="3"/>
      <c r="I22" s="3"/>
      <c r="J22" s="3"/>
    </row>
    <row r="23" spans="1:11" ht="15.75" x14ac:dyDescent="0.25">
      <c r="A23" s="12" t="s">
        <v>53</v>
      </c>
      <c r="C23" s="13"/>
      <c r="D23" s="13"/>
      <c r="E23" s="13"/>
      <c r="F23" s="13"/>
      <c r="G23" s="13"/>
      <c r="H23" s="13"/>
      <c r="I23" s="13"/>
      <c r="J23" s="13"/>
    </row>
    <row r="24" spans="1:11" x14ac:dyDescent="0.25">
      <c r="A24" s="14"/>
      <c r="C24" s="15"/>
      <c r="D24" s="15"/>
      <c r="E24" s="15"/>
      <c r="F24" s="15"/>
      <c r="G24" s="15"/>
      <c r="H24" s="15"/>
      <c r="I24" s="15"/>
      <c r="J24" s="15"/>
    </row>
    <row r="25" spans="1:11" x14ac:dyDescent="0.25">
      <c r="A25" s="16" t="s">
        <v>54</v>
      </c>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B29" s="17"/>
      <c r="C29" s="17"/>
      <c r="D29" s="17"/>
      <c r="E29" s="13"/>
      <c r="F29" s="13"/>
      <c r="G29" s="13"/>
      <c r="H29" s="13"/>
      <c r="I29" s="13"/>
      <c r="J29" s="13"/>
    </row>
    <row r="30" spans="1:11" x14ac:dyDescent="0.25">
      <c r="A30" s="16" t="s">
        <v>55</v>
      </c>
      <c r="E30" s="13"/>
      <c r="F30" s="13"/>
      <c r="G30" s="13"/>
      <c r="H30" s="13"/>
      <c r="I30" s="13"/>
      <c r="J30" s="13"/>
    </row>
    <row r="31" spans="1:11" x14ac:dyDescent="0.25">
      <c r="B31" s="360"/>
      <c r="C31" s="361"/>
      <c r="D31" s="361"/>
      <c r="E31" s="362"/>
      <c r="F31" s="13"/>
      <c r="G31" s="13"/>
      <c r="H31" s="13"/>
      <c r="I31" s="13"/>
      <c r="J31" s="13"/>
    </row>
    <row r="32" spans="1:11" ht="17.25" x14ac:dyDescent="0.25">
      <c r="B32" s="3"/>
      <c r="C32" s="3"/>
      <c r="D32" s="3"/>
      <c r="E32" s="13"/>
      <c r="F32" s="13"/>
      <c r="G32" s="13"/>
      <c r="H32" s="13"/>
      <c r="I32" s="13"/>
      <c r="J32" s="13"/>
    </row>
    <row r="33" spans="1:20" x14ac:dyDescent="0.25">
      <c r="A33" s="7" t="s">
        <v>56</v>
      </c>
    </row>
    <row r="35" spans="1:20" ht="43.5" customHeight="1" x14ac:dyDescent="0.25">
      <c r="B35" s="363" t="s">
        <v>95</v>
      </c>
      <c r="C35" s="4" t="s">
        <v>96</v>
      </c>
      <c r="D35" s="4" t="s">
        <v>97</v>
      </c>
      <c r="E35" s="358" t="s">
        <v>98</v>
      </c>
      <c r="F35" s="358"/>
      <c r="G35" s="358"/>
      <c r="H35" s="358" t="s">
        <v>99</v>
      </c>
      <c r="I35" s="358"/>
      <c r="J35" s="358"/>
      <c r="K35" s="358" t="s">
        <v>100</v>
      </c>
      <c r="L35" s="358"/>
      <c r="M35" s="358"/>
      <c r="N35" s="358" t="s">
        <v>101</v>
      </c>
      <c r="O35" s="358"/>
      <c r="P35" s="358"/>
      <c r="Q35" s="359" t="s">
        <v>102</v>
      </c>
      <c r="R35" s="359"/>
      <c r="S35" s="359"/>
    </row>
    <row r="36" spans="1:20" ht="30" customHeight="1" x14ac:dyDescent="0.25">
      <c r="B36" s="363"/>
      <c r="C36" s="4" t="s">
        <v>35</v>
      </c>
      <c r="D36" s="4" t="s">
        <v>36</v>
      </c>
      <c r="E36" s="19" t="s">
        <v>0</v>
      </c>
      <c r="F36" s="19" t="s">
        <v>1</v>
      </c>
      <c r="G36" s="19" t="s">
        <v>3</v>
      </c>
      <c r="H36" s="19" t="s">
        <v>0</v>
      </c>
      <c r="I36" s="19" t="s">
        <v>1</v>
      </c>
      <c r="J36" s="19" t="s">
        <v>3</v>
      </c>
      <c r="K36" s="19" t="s">
        <v>39</v>
      </c>
      <c r="L36" s="19" t="s">
        <v>38</v>
      </c>
      <c r="M36" s="19" t="s">
        <v>37</v>
      </c>
      <c r="N36" s="19" t="s">
        <v>39</v>
      </c>
      <c r="O36" s="19" t="s">
        <v>38</v>
      </c>
      <c r="P36" s="19" t="s">
        <v>37</v>
      </c>
      <c r="Q36" s="26" t="s">
        <v>0</v>
      </c>
      <c r="R36" s="26" t="s">
        <v>1</v>
      </c>
      <c r="S36" s="26" t="s">
        <v>3</v>
      </c>
    </row>
    <row r="37" spans="1:20" x14ac:dyDescent="0.25">
      <c r="B37" s="22" t="s">
        <v>597</v>
      </c>
      <c r="C37" s="257">
        <v>11769.5</v>
      </c>
      <c r="D37" s="257">
        <v>11769.5</v>
      </c>
      <c r="E37" s="257">
        <v>0</v>
      </c>
      <c r="F37" s="257">
        <v>0</v>
      </c>
      <c r="G37" s="257">
        <v>0</v>
      </c>
      <c r="H37" s="257">
        <v>0</v>
      </c>
      <c r="I37" s="257">
        <v>0</v>
      </c>
      <c r="J37" s="257">
        <v>0</v>
      </c>
      <c r="K37" s="52">
        <f>C37+E37+H37</f>
        <v>11769.5</v>
      </c>
      <c r="L37" s="52">
        <f>C37+F37+I37</f>
        <v>11769.5</v>
      </c>
      <c r="M37" s="52">
        <f>C37+G37+J37</f>
        <v>11769.5</v>
      </c>
      <c r="N37" s="93"/>
      <c r="O37" s="93"/>
      <c r="P37" s="93"/>
      <c r="Q37" s="70">
        <f>K37+N37</f>
        <v>11769.5</v>
      </c>
      <c r="R37" s="70">
        <f>L37+O37</f>
        <v>11769.5</v>
      </c>
      <c r="S37" s="70">
        <f>M37+P37</f>
        <v>11769.5</v>
      </c>
      <c r="T37" s="86"/>
    </row>
    <row r="38" spans="1:20" x14ac:dyDescent="0.25">
      <c r="B38" s="22" t="s">
        <v>176</v>
      </c>
      <c r="C38" s="257">
        <v>2353.9</v>
      </c>
      <c r="D38" s="257">
        <v>2353.9</v>
      </c>
      <c r="E38" s="257">
        <v>0</v>
      </c>
      <c r="F38" s="257">
        <v>0</v>
      </c>
      <c r="G38" s="257">
        <v>0</v>
      </c>
      <c r="H38" s="257">
        <v>0</v>
      </c>
      <c r="I38" s="257">
        <v>0</v>
      </c>
      <c r="J38" s="257">
        <v>0</v>
      </c>
      <c r="K38" s="52">
        <f t="shared" ref="K38:M40" si="0">C38+E38+H38</f>
        <v>2353.9</v>
      </c>
      <c r="L38" s="52">
        <f>C38+F38+I38</f>
        <v>2353.9</v>
      </c>
      <c r="M38" s="292">
        <f>C38+G38+J38</f>
        <v>2353.9</v>
      </c>
      <c r="N38" s="93"/>
      <c r="O38" s="93"/>
      <c r="P38" s="93"/>
      <c r="Q38" s="70">
        <f t="shared" ref="Q38:S40" si="1">K38+N38</f>
        <v>2353.9</v>
      </c>
      <c r="R38" s="70">
        <f t="shared" si="1"/>
        <v>2353.9</v>
      </c>
      <c r="S38" s="70">
        <f t="shared" si="1"/>
        <v>2353.9</v>
      </c>
      <c r="T38" s="86"/>
    </row>
    <row r="39" spans="1:20" x14ac:dyDescent="0.25">
      <c r="B39" s="22"/>
      <c r="C39" s="51"/>
      <c r="D39" s="51"/>
      <c r="E39" s="93"/>
      <c r="F39" s="93"/>
      <c r="G39" s="93"/>
      <c r="H39" s="93"/>
      <c r="I39" s="93"/>
      <c r="J39" s="93"/>
      <c r="K39" s="52">
        <f t="shared" si="0"/>
        <v>0</v>
      </c>
      <c r="L39" s="52">
        <f t="shared" si="0"/>
        <v>0</v>
      </c>
      <c r="M39" s="52">
        <f t="shared" si="0"/>
        <v>0</v>
      </c>
      <c r="N39" s="93"/>
      <c r="O39" s="93"/>
      <c r="P39" s="93"/>
      <c r="Q39" s="70">
        <f t="shared" si="1"/>
        <v>0</v>
      </c>
      <c r="R39" s="70">
        <f t="shared" si="1"/>
        <v>0</v>
      </c>
      <c r="S39" s="70">
        <f t="shared" si="1"/>
        <v>0</v>
      </c>
      <c r="T39" s="86"/>
    </row>
    <row r="40" spans="1:20" x14ac:dyDescent="0.25">
      <c r="B40" s="22"/>
      <c r="C40" s="51"/>
      <c r="D40" s="51"/>
      <c r="E40" s="93"/>
      <c r="F40" s="93"/>
      <c r="G40" s="93"/>
      <c r="H40" s="93"/>
      <c r="I40" s="93"/>
      <c r="J40" s="93"/>
      <c r="K40" s="52">
        <f t="shared" si="0"/>
        <v>0</v>
      </c>
      <c r="L40" s="52">
        <f t="shared" si="0"/>
        <v>0</v>
      </c>
      <c r="M40" s="52">
        <f t="shared" si="0"/>
        <v>0</v>
      </c>
      <c r="N40" s="93"/>
      <c r="O40" s="93"/>
      <c r="P40" s="93"/>
      <c r="Q40" s="70">
        <f t="shared" si="1"/>
        <v>0</v>
      </c>
      <c r="R40" s="70">
        <f t="shared" si="1"/>
        <v>0</v>
      </c>
      <c r="S40" s="70">
        <f t="shared" si="1"/>
        <v>0</v>
      </c>
      <c r="T40" s="86"/>
    </row>
    <row r="41" spans="1:20" ht="28.5" x14ac:dyDescent="0.25">
      <c r="B41" s="18" t="s">
        <v>73</v>
      </c>
      <c r="C41" s="51">
        <f>SUM(C37:C40)</f>
        <v>14123.4</v>
      </c>
      <c r="D41" s="51">
        <f>SUM(D37:D40)</f>
        <v>14123.4</v>
      </c>
      <c r="E41" s="52">
        <f>SUM(E37:E40)</f>
        <v>0</v>
      </c>
      <c r="F41" s="52">
        <f t="shared" ref="F41:J41" si="2">SUM(F37:F40)</f>
        <v>0</v>
      </c>
      <c r="G41" s="52">
        <f t="shared" si="2"/>
        <v>0</v>
      </c>
      <c r="H41" s="52">
        <f t="shared" si="2"/>
        <v>0</v>
      </c>
      <c r="I41" s="52">
        <f t="shared" si="2"/>
        <v>0</v>
      </c>
      <c r="J41" s="52">
        <f t="shared" si="2"/>
        <v>0</v>
      </c>
      <c r="K41" s="52">
        <f>C41+E41+H41</f>
        <v>14123.4</v>
      </c>
      <c r="L41" s="52">
        <f>C41+F41+I41</f>
        <v>14123.4</v>
      </c>
      <c r="M41" s="52">
        <f>C41+G41+J41</f>
        <v>14123.4</v>
      </c>
      <c r="N41" s="82" t="s">
        <v>2</v>
      </c>
      <c r="O41" s="82" t="s">
        <v>2</v>
      </c>
      <c r="P41" s="82" t="s">
        <v>2</v>
      </c>
      <c r="Q41" s="70" t="s">
        <v>2</v>
      </c>
      <c r="R41" s="70" t="s">
        <v>2</v>
      </c>
      <c r="S41" s="70" t="s">
        <v>2</v>
      </c>
      <c r="T41" s="86"/>
    </row>
    <row r="42" spans="1:20" ht="28.5" x14ac:dyDescent="0.25">
      <c r="B42" s="18" t="s">
        <v>60</v>
      </c>
      <c r="C42" s="51"/>
      <c r="D42" s="51"/>
      <c r="E42" s="52" t="s">
        <v>72</v>
      </c>
      <c r="F42" s="52" t="s">
        <v>72</v>
      </c>
      <c r="G42" s="52" t="s">
        <v>72</v>
      </c>
      <c r="H42" s="52" t="s">
        <v>72</v>
      </c>
      <c r="I42" s="52" t="s">
        <v>72</v>
      </c>
      <c r="J42" s="52" t="s">
        <v>72</v>
      </c>
      <c r="K42" s="52">
        <f>C42</f>
        <v>0</v>
      </c>
      <c r="L42" s="52">
        <f>C42</f>
        <v>0</v>
      </c>
      <c r="M42" s="52">
        <f>C42</f>
        <v>0</v>
      </c>
      <c r="N42" s="82" t="s">
        <v>2</v>
      </c>
      <c r="O42" s="82" t="s">
        <v>2</v>
      </c>
      <c r="P42" s="82" t="s">
        <v>2</v>
      </c>
      <c r="Q42" s="70" t="s">
        <v>2</v>
      </c>
      <c r="R42" s="70" t="s">
        <v>2</v>
      </c>
      <c r="S42" s="70" t="s">
        <v>2</v>
      </c>
      <c r="T42" s="86"/>
    </row>
    <row r="43" spans="1:20" s="199" customFormat="1" ht="17.45" customHeight="1" x14ac:dyDescent="0.25">
      <c r="B43" s="246" t="s">
        <v>698</v>
      </c>
      <c r="C43" s="259">
        <f>SUM(C37:C40)</f>
        <v>14123.4</v>
      </c>
      <c r="D43" s="259">
        <f>SUM(D37:D40)</f>
        <v>14123.4</v>
      </c>
      <c r="E43" s="259">
        <f>E41</f>
        <v>0</v>
      </c>
      <c r="F43" s="259">
        <f t="shared" ref="F43:J43" si="3">F41</f>
        <v>0</v>
      </c>
      <c r="G43" s="259">
        <f t="shared" si="3"/>
        <v>0</v>
      </c>
      <c r="H43" s="259">
        <f t="shared" si="3"/>
        <v>0</v>
      </c>
      <c r="I43" s="259">
        <f t="shared" si="3"/>
        <v>0</v>
      </c>
      <c r="J43" s="259">
        <f t="shared" si="3"/>
        <v>0</v>
      </c>
      <c r="K43" s="260">
        <f>+K41+K42</f>
        <v>14123.4</v>
      </c>
      <c r="L43" s="260">
        <f t="shared" ref="L43:M43" si="4">+L41+L42</f>
        <v>14123.4</v>
      </c>
      <c r="M43" s="260">
        <f t="shared" si="4"/>
        <v>14123.4</v>
      </c>
      <c r="N43" s="260">
        <f>SUM(N37:N40)</f>
        <v>0</v>
      </c>
      <c r="O43" s="260">
        <f t="shared" ref="O43:P43" si="5">SUM(O37:O40)</f>
        <v>0</v>
      </c>
      <c r="P43" s="260">
        <f t="shared" si="5"/>
        <v>0</v>
      </c>
      <c r="Q43" s="263">
        <f>K43+N43</f>
        <v>14123.4</v>
      </c>
      <c r="R43" s="263">
        <f>L43+O43</f>
        <v>14123.4</v>
      </c>
      <c r="S43" s="263">
        <f>M43+P43</f>
        <v>14123.4</v>
      </c>
      <c r="T43" s="293"/>
    </row>
    <row r="44" spans="1:20" x14ac:dyDescent="0.25">
      <c r="C44" s="86"/>
      <c r="D44" s="86"/>
      <c r="E44" s="86"/>
      <c r="F44" s="86"/>
      <c r="G44" s="86"/>
      <c r="H44" s="86"/>
      <c r="I44" s="86"/>
      <c r="J44" s="86"/>
      <c r="K44" s="86"/>
      <c r="L44" s="86"/>
      <c r="M44" s="86"/>
      <c r="N44" s="86"/>
      <c r="O44" s="86"/>
      <c r="P44" s="86"/>
      <c r="Q44" s="86"/>
      <c r="R44" s="86"/>
      <c r="S44" s="86"/>
      <c r="T44" s="86"/>
    </row>
  </sheetData>
  <mergeCells count="13">
    <mergeCell ref="K17:K18"/>
    <mergeCell ref="B17:B18"/>
    <mergeCell ref="C17:C18"/>
    <mergeCell ref="D17:D18"/>
    <mergeCell ref="E17:E18"/>
    <mergeCell ref="F17:J17"/>
    <mergeCell ref="Q35:S35"/>
    <mergeCell ref="B31:E31"/>
    <mergeCell ref="B35:B36"/>
    <mergeCell ref="E35:G35"/>
    <mergeCell ref="H35:J35"/>
    <mergeCell ref="K35:M35"/>
    <mergeCell ref="N35:P35"/>
  </mergeCells>
  <dataValidations count="4">
    <dataValidation type="custom" allowBlank="1" showInputMessage="1" showErrorMessage="1" sqref="N37:P40" xr:uid="{70DD5433-21D9-482B-8D78-F9D42BD5A429}">
      <formula1>"-"</formula1>
    </dataValidation>
    <dataValidation type="list" allowBlank="1" showInputMessage="1" showErrorMessage="1" sqref="B13" xr:uid="{61ECB0E6-CCCD-4336-9887-E321730453A0}">
      <formula1>$U$2:$U$4</formula1>
    </dataValidation>
    <dataValidation type="list" allowBlank="1" showInputMessage="1" showErrorMessage="1" sqref="D19:D21" xr:uid="{C457E8B4-AF85-4AED-A344-D7EB3D697614}">
      <formula1>$V$2:$V$3</formula1>
    </dataValidation>
    <dataValidation showInputMessage="1" showErrorMessage="1" sqref="E19:E21" xr:uid="{63C16E18-3DBA-48D4-AF35-7CDB408FC6BE}"/>
  </dataValidations>
  <hyperlinks>
    <hyperlink ref="C12" location="_ftn1" display="_ftn1" xr:uid="{AB25640D-262F-41E7-81A0-BC54A305D95B}"/>
    <hyperlink ref="D12" location="_ftn2" display="_ftn2" xr:uid="{76EB4B34-E691-4D96-85C3-6CCCFC8A8045}"/>
    <hyperlink ref="E12" location="_ftn3" display="_ftn3" xr:uid="{8DD208CA-01E2-4C4C-9C03-515070FDCBC2}"/>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6561" r:id="rId3" name="Check Box 1">
              <controlPr defaultSize="0" autoFill="0" autoLine="0" autoPict="0">
                <anchor moveWithCells="1">
                  <from>
                    <xdr:col>1</xdr:col>
                    <xdr:colOff>85725</xdr:colOff>
                    <xdr:row>27</xdr:row>
                    <xdr:rowOff>0</xdr:rowOff>
                  </from>
                  <to>
                    <xdr:col>2</xdr:col>
                    <xdr:colOff>1171575</xdr:colOff>
                    <xdr:row>28</xdr:row>
                    <xdr:rowOff>38100</xdr:rowOff>
                  </to>
                </anchor>
              </controlPr>
            </control>
          </mc:Choice>
        </mc:AlternateContent>
        <mc:AlternateContent xmlns:mc="http://schemas.openxmlformats.org/markup-compatibility/2006">
          <mc:Choice Requires="x14">
            <control shapeId="66562" r:id="rId4" name="Check Box 2">
              <controlPr defaultSize="0" autoFill="0" autoLine="0" autoPict="0">
                <anchor moveWithCells="1">
                  <from>
                    <xdr:col>1</xdr:col>
                    <xdr:colOff>85725</xdr:colOff>
                    <xdr:row>24</xdr:row>
                    <xdr:rowOff>171450</xdr:rowOff>
                  </from>
                  <to>
                    <xdr:col>2</xdr:col>
                    <xdr:colOff>1924050</xdr:colOff>
                    <xdr:row>26</xdr:row>
                    <xdr:rowOff>47625</xdr:rowOff>
                  </to>
                </anchor>
              </controlPr>
            </control>
          </mc:Choice>
        </mc:AlternateContent>
        <mc:AlternateContent xmlns:mc="http://schemas.openxmlformats.org/markup-compatibility/2006">
          <mc:Choice Requires="x14">
            <control shapeId="66563" r:id="rId5" name="Check Box 3">
              <controlPr defaultSize="0" autoFill="0" autoLine="0" autoPict="0">
                <anchor moveWithCells="1">
                  <from>
                    <xdr:col>1</xdr:col>
                    <xdr:colOff>85725</xdr:colOff>
                    <xdr:row>26</xdr:row>
                    <xdr:rowOff>28575</xdr:rowOff>
                  </from>
                  <to>
                    <xdr:col>2</xdr:col>
                    <xdr:colOff>1924050</xdr:colOff>
                    <xdr:row>27</xdr:row>
                    <xdr:rowOff>9525</xdr:rowOff>
                  </to>
                </anchor>
              </controlPr>
            </control>
          </mc:Choice>
        </mc:AlternateContent>
        <mc:AlternateContent xmlns:mc="http://schemas.openxmlformats.org/markup-compatibility/2006">
          <mc:Choice Requires="x14">
            <control shapeId="66564" r:id="rId6" name="Check Box 4">
              <controlPr defaultSize="0" autoFill="0" autoLine="0" autoPict="0">
                <anchor moveWithCells="1">
                  <from>
                    <xdr:col>1</xdr:col>
                    <xdr:colOff>95250</xdr:colOff>
                    <xdr:row>28</xdr:row>
                    <xdr:rowOff>9525</xdr:rowOff>
                  </from>
                  <to>
                    <xdr:col>2</xdr:col>
                    <xdr:colOff>571500</xdr:colOff>
                    <xdr:row>29</xdr:row>
                    <xdr:rowOff>9525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15E57-9ABB-467F-802B-8C48413351EF}">
  <dimension ref="A1:DE44"/>
  <sheetViews>
    <sheetView topLeftCell="E22" workbookViewId="0">
      <selection activeCell="C44" sqref="C44:S44"/>
    </sheetView>
  </sheetViews>
  <sheetFormatPr defaultRowHeight="15" x14ac:dyDescent="0.25"/>
  <cols>
    <col min="1" max="1" width="6" customWidth="1"/>
    <col min="2" max="2" width="30.7109375" customWidth="1"/>
    <col min="3" max="3" width="29" customWidth="1"/>
    <col min="4" max="4" width="31.5703125" customWidth="1"/>
    <col min="5" max="5" width="34.85546875" customWidth="1"/>
    <col min="6" max="6" width="19" customWidth="1"/>
    <col min="7" max="7" width="13.42578125" customWidth="1"/>
    <col min="8" max="9" width="10.42578125" customWidth="1"/>
    <col min="10" max="10" width="10.85546875" customWidth="1"/>
    <col min="11" max="11" width="56.42578125" customWidth="1"/>
    <col min="12" max="12" width="9" customWidth="1"/>
    <col min="13" max="13" width="16.28515625" customWidth="1"/>
    <col min="14" max="14" width="9.5703125" customWidth="1"/>
    <col min="15" max="15" width="8.140625" customWidth="1"/>
    <col min="16" max="16" width="8"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1067</v>
      </c>
      <c r="E5" s="25" t="s">
        <v>83</v>
      </c>
      <c r="F5" s="20" t="s">
        <v>721</v>
      </c>
      <c r="H5" s="3"/>
      <c r="I5" s="3"/>
      <c r="J5" s="3"/>
    </row>
    <row r="6" spans="1:23" ht="45.75" customHeight="1" x14ac:dyDescent="0.25">
      <c r="B6" s="25" t="s">
        <v>80</v>
      </c>
      <c r="C6" s="29" t="s">
        <v>584</v>
      </c>
      <c r="D6" s="310"/>
      <c r="E6" s="25" t="s">
        <v>84</v>
      </c>
      <c r="F6" s="20" t="s">
        <v>245</v>
      </c>
      <c r="H6" s="3"/>
      <c r="I6" s="3"/>
      <c r="J6" s="3"/>
    </row>
    <row r="7" spans="1:23" ht="18" customHeight="1" x14ac:dyDescent="0.25">
      <c r="B7" s="25" t="s">
        <v>81</v>
      </c>
      <c r="C7" s="20">
        <v>11002</v>
      </c>
      <c r="H7" s="3"/>
      <c r="I7" s="3"/>
      <c r="J7" s="3"/>
    </row>
    <row r="8" spans="1:23" ht="43.5" customHeight="1" x14ac:dyDescent="0.25">
      <c r="B8" s="25" t="s">
        <v>82</v>
      </c>
      <c r="C8" s="29" t="s">
        <v>722</v>
      </c>
      <c r="D8" s="310"/>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276" customHeight="1" x14ac:dyDescent="0.3">
      <c r="B13" s="311" t="s">
        <v>43</v>
      </c>
      <c r="C13" s="133" t="s">
        <v>723</v>
      </c>
      <c r="D13" s="132" t="s">
        <v>724</v>
      </c>
      <c r="E13" s="132" t="s">
        <v>725</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09" ht="15" customHeight="1" x14ac:dyDescent="0.25">
      <c r="B17" s="365" t="s">
        <v>89</v>
      </c>
      <c r="C17" s="365" t="s">
        <v>90</v>
      </c>
      <c r="D17" s="365" t="s">
        <v>91</v>
      </c>
      <c r="E17" s="365" t="s">
        <v>92</v>
      </c>
      <c r="F17" s="364" t="s">
        <v>93</v>
      </c>
      <c r="G17" s="364"/>
      <c r="H17" s="364"/>
      <c r="I17" s="364"/>
      <c r="J17" s="364"/>
      <c r="K17" s="364" t="s">
        <v>94</v>
      </c>
    </row>
    <row r="18" spans="1:109" ht="40.5" x14ac:dyDescent="0.25">
      <c r="B18" s="365"/>
      <c r="C18" s="365"/>
      <c r="D18" s="365"/>
      <c r="E18" s="365"/>
      <c r="F18" s="27" t="s">
        <v>51</v>
      </c>
      <c r="G18" s="27" t="s">
        <v>52</v>
      </c>
      <c r="H18" s="27" t="s">
        <v>0</v>
      </c>
      <c r="I18" s="27" t="s">
        <v>1</v>
      </c>
      <c r="J18" s="27" t="s">
        <v>3</v>
      </c>
      <c r="K18" s="364"/>
    </row>
    <row r="19" spans="1:109" ht="99" customHeight="1" x14ac:dyDescent="0.25">
      <c r="B19" s="131" t="s">
        <v>590</v>
      </c>
      <c r="C19" s="131" t="s">
        <v>117</v>
      </c>
      <c r="D19" s="131" t="s">
        <v>47</v>
      </c>
      <c r="E19" s="64" t="s">
        <v>726</v>
      </c>
      <c r="F19" s="311">
        <v>3</v>
      </c>
      <c r="G19" s="311">
        <v>3</v>
      </c>
      <c r="H19" s="311">
        <v>15</v>
      </c>
      <c r="I19" s="311">
        <v>15</v>
      </c>
      <c r="J19" s="311">
        <v>15</v>
      </c>
      <c r="K19" s="132" t="s">
        <v>793</v>
      </c>
      <c r="L19" s="310"/>
      <c r="M19" s="310"/>
      <c r="N19" s="310"/>
      <c r="O19" s="310"/>
      <c r="P19" s="310"/>
      <c r="Q19" s="310"/>
      <c r="R19" s="310"/>
      <c r="S19" s="310"/>
      <c r="T19" s="310"/>
      <c r="U19" s="310"/>
      <c r="V19" s="310"/>
      <c r="W19" s="310"/>
      <c r="X19" s="310"/>
      <c r="Y19" s="310"/>
      <c r="Z19" s="310"/>
      <c r="AA19" s="310"/>
      <c r="AB19" s="310"/>
      <c r="AC19" s="310"/>
      <c r="AD19" s="310"/>
      <c r="AE19" s="310"/>
      <c r="AF19" s="310"/>
      <c r="AG19" s="310"/>
      <c r="AH19" s="310"/>
      <c r="AI19" s="310"/>
      <c r="AJ19" s="310"/>
      <c r="AK19" s="310"/>
      <c r="AL19" s="310"/>
      <c r="AM19" s="310"/>
      <c r="AN19" s="310"/>
      <c r="AO19" s="310"/>
      <c r="AP19" s="310"/>
      <c r="AQ19" s="310"/>
      <c r="AR19" s="310"/>
      <c r="AS19" s="310"/>
      <c r="AT19" s="310"/>
      <c r="AU19" s="310"/>
      <c r="AV19" s="310"/>
      <c r="AW19" s="310"/>
      <c r="AX19" s="310"/>
      <c r="AY19" s="310"/>
      <c r="AZ19" s="310"/>
      <c r="BA19" s="310"/>
      <c r="BB19" s="310"/>
      <c r="BC19" s="310"/>
      <c r="BD19" s="310"/>
      <c r="BE19" s="310"/>
      <c r="BF19" s="310"/>
      <c r="BG19" s="310"/>
      <c r="BH19" s="310"/>
      <c r="BI19" s="310"/>
      <c r="BJ19" s="310"/>
      <c r="BK19" s="310"/>
      <c r="BL19" s="310"/>
      <c r="BM19" s="310"/>
      <c r="BN19" s="310"/>
      <c r="BO19" s="310"/>
      <c r="BP19" s="310"/>
      <c r="BQ19" s="310"/>
      <c r="BR19" s="310"/>
      <c r="BS19" s="310"/>
      <c r="BT19" s="310"/>
      <c r="BU19" s="310"/>
      <c r="BV19" s="310"/>
      <c r="BW19" s="310"/>
      <c r="BX19" s="310"/>
      <c r="BY19" s="310"/>
      <c r="BZ19" s="310"/>
      <c r="CA19" s="310"/>
      <c r="CB19" s="310"/>
      <c r="CC19" s="310"/>
      <c r="CD19" s="310"/>
      <c r="CE19" s="310"/>
      <c r="CF19" s="310"/>
      <c r="CG19" s="310"/>
      <c r="CH19" s="310"/>
      <c r="CI19" s="310"/>
      <c r="CJ19" s="310"/>
      <c r="CK19" s="310"/>
      <c r="CL19" s="310"/>
      <c r="CM19" s="310"/>
      <c r="CN19" s="310"/>
      <c r="CO19" s="310"/>
      <c r="CP19" s="310"/>
      <c r="CQ19" s="310"/>
      <c r="CR19" s="310"/>
      <c r="CS19" s="310"/>
      <c r="CT19" s="310"/>
      <c r="CU19" s="310"/>
      <c r="CV19" s="310"/>
      <c r="CW19" s="310"/>
      <c r="CX19" s="310"/>
      <c r="CY19" s="310"/>
      <c r="CZ19" s="310"/>
      <c r="DA19" s="310"/>
      <c r="DB19" s="310"/>
      <c r="DC19" s="310"/>
      <c r="DD19" s="310"/>
      <c r="DE19" s="310"/>
    </row>
    <row r="20" spans="1:109" ht="135" x14ac:dyDescent="0.25">
      <c r="B20" s="131" t="s">
        <v>794</v>
      </c>
      <c r="C20" s="131" t="s">
        <v>728</v>
      </c>
      <c r="D20" s="131" t="s">
        <v>47</v>
      </c>
      <c r="E20" s="64" t="s">
        <v>795</v>
      </c>
      <c r="F20" s="311">
        <v>0</v>
      </c>
      <c r="G20" s="311">
        <v>0</v>
      </c>
      <c r="H20" s="23">
        <v>10022.9</v>
      </c>
      <c r="I20" s="23">
        <v>10022.9</v>
      </c>
      <c r="J20" s="23">
        <v>10022.9</v>
      </c>
      <c r="K20" s="132" t="s">
        <v>796</v>
      </c>
    </row>
    <row r="21" spans="1:109" ht="253.5" customHeight="1" x14ac:dyDescent="0.25">
      <c r="B21" s="132" t="s">
        <v>176</v>
      </c>
      <c r="C21" s="132" t="s">
        <v>728</v>
      </c>
      <c r="D21" s="132" t="s">
        <v>47</v>
      </c>
      <c r="E21" s="133"/>
      <c r="F21" s="217">
        <v>2780</v>
      </c>
      <c r="G21" s="217">
        <v>2780</v>
      </c>
      <c r="H21" s="217">
        <v>18330.099999999999</v>
      </c>
      <c r="I21" s="217">
        <v>18330.099999999999</v>
      </c>
      <c r="J21" s="217">
        <v>18330.099999999999</v>
      </c>
      <c r="K21" s="133"/>
      <c r="S21" s="349"/>
      <c r="T21" s="349"/>
    </row>
    <row r="22" spans="1:109" x14ac:dyDescent="0.25">
      <c r="B22" s="13"/>
      <c r="C22" s="13"/>
      <c r="D22" s="13"/>
      <c r="E22" s="13"/>
      <c r="F22" s="13"/>
      <c r="G22" s="13"/>
      <c r="H22" s="13"/>
      <c r="I22" s="13"/>
      <c r="J22" s="13"/>
      <c r="K22" s="13"/>
      <c r="L22" s="13"/>
    </row>
    <row r="23" spans="1:109" x14ac:dyDescent="0.25">
      <c r="B23" s="13"/>
      <c r="C23" s="13"/>
      <c r="D23" s="13"/>
      <c r="E23" s="13"/>
      <c r="F23" s="13"/>
      <c r="G23" s="13"/>
      <c r="H23" s="13"/>
      <c r="I23" s="13"/>
      <c r="J23" s="13"/>
      <c r="K23" s="13"/>
      <c r="L23" s="13"/>
    </row>
    <row r="24" spans="1:109" ht="15.75" x14ac:dyDescent="0.25">
      <c r="A24" s="12" t="s">
        <v>53</v>
      </c>
      <c r="C24" s="13"/>
      <c r="D24" s="13"/>
      <c r="E24" s="13"/>
      <c r="F24" s="13"/>
      <c r="G24" s="13"/>
      <c r="H24" s="13"/>
      <c r="I24" s="13"/>
      <c r="J24" s="13"/>
    </row>
    <row r="25" spans="1:109" x14ac:dyDescent="0.25">
      <c r="A25" s="14"/>
      <c r="C25" s="15"/>
      <c r="D25" s="15"/>
      <c r="E25" s="15"/>
      <c r="F25" s="15"/>
      <c r="G25" s="15"/>
      <c r="H25" s="15"/>
      <c r="I25" s="15"/>
      <c r="J25" s="15"/>
    </row>
    <row r="26" spans="1:109" x14ac:dyDescent="0.25">
      <c r="A26" s="16" t="s">
        <v>54</v>
      </c>
      <c r="C26" s="17"/>
      <c r="D26" s="17"/>
      <c r="E26" s="13"/>
      <c r="F26" s="13"/>
      <c r="G26" s="13"/>
      <c r="H26" s="13"/>
      <c r="I26" s="13"/>
      <c r="J26" s="13"/>
    </row>
    <row r="27" spans="1:109" x14ac:dyDescent="0.25">
      <c r="B27" s="17"/>
      <c r="C27" s="17"/>
      <c r="D27" s="17"/>
      <c r="E27" s="13"/>
      <c r="F27" s="13"/>
      <c r="G27" s="13"/>
      <c r="H27" s="13"/>
      <c r="I27" s="13"/>
      <c r="J27" s="13"/>
    </row>
    <row r="28" spans="1:109" x14ac:dyDescent="0.25">
      <c r="B28" s="17"/>
      <c r="C28" s="17"/>
      <c r="D28" s="17"/>
      <c r="E28" s="13"/>
      <c r="F28" s="13"/>
      <c r="G28" s="13"/>
      <c r="H28" s="13"/>
      <c r="I28" s="13"/>
      <c r="J28" s="13"/>
    </row>
    <row r="29" spans="1:109" x14ac:dyDescent="0.25">
      <c r="B29" s="17"/>
      <c r="C29" s="17"/>
      <c r="D29" s="17"/>
      <c r="E29" s="13"/>
      <c r="F29" s="13"/>
      <c r="G29" s="13"/>
      <c r="H29" s="13"/>
      <c r="I29" s="13"/>
      <c r="J29" s="13"/>
    </row>
    <row r="30" spans="1:109" x14ac:dyDescent="0.25">
      <c r="A30" s="16" t="s">
        <v>55</v>
      </c>
      <c r="E30" s="13"/>
      <c r="F30" s="13"/>
      <c r="G30" s="13"/>
      <c r="H30" s="13"/>
      <c r="I30" s="13"/>
      <c r="J30" s="13"/>
    </row>
    <row r="31" spans="1:109" x14ac:dyDescent="0.25">
      <c r="B31" s="360"/>
      <c r="C31" s="361"/>
      <c r="D31" s="361"/>
      <c r="E31" s="362"/>
      <c r="F31" s="13"/>
      <c r="G31" s="13"/>
      <c r="H31" s="13"/>
      <c r="I31" s="13"/>
      <c r="J31" s="13"/>
    </row>
    <row r="32" spans="1:109" ht="62.25" customHeight="1" x14ac:dyDescent="0.25">
      <c r="B32" s="3"/>
      <c r="C32" s="3"/>
      <c r="D32" s="3"/>
      <c r="E32" s="13"/>
      <c r="F32" s="13"/>
      <c r="G32" s="13"/>
      <c r="H32" s="13"/>
      <c r="I32" s="13"/>
      <c r="J32" s="13"/>
    </row>
    <row r="33" spans="1:19" x14ac:dyDescent="0.25">
      <c r="A33" s="7" t="s">
        <v>56</v>
      </c>
    </row>
    <row r="35" spans="1:19" x14ac:dyDescent="0.25">
      <c r="B35" s="363" t="s">
        <v>95</v>
      </c>
      <c r="C35" s="4" t="s">
        <v>96</v>
      </c>
      <c r="D35" s="4" t="s">
        <v>97</v>
      </c>
      <c r="E35" s="358" t="s">
        <v>98</v>
      </c>
      <c r="F35" s="358"/>
      <c r="G35" s="358"/>
      <c r="H35" s="358" t="s">
        <v>99</v>
      </c>
      <c r="I35" s="358"/>
      <c r="J35" s="358"/>
      <c r="K35" s="358" t="s">
        <v>100</v>
      </c>
      <c r="L35" s="358"/>
      <c r="M35" s="358"/>
      <c r="N35" s="358" t="s">
        <v>101</v>
      </c>
      <c r="O35" s="358"/>
      <c r="P35" s="358"/>
      <c r="Q35" s="359" t="s">
        <v>102</v>
      </c>
      <c r="R35" s="359"/>
      <c r="S35" s="359"/>
    </row>
    <row r="36" spans="1:19" ht="28.5" customHeight="1" x14ac:dyDescent="0.25">
      <c r="B36" s="363"/>
      <c r="C36" s="4" t="s">
        <v>35</v>
      </c>
      <c r="D36" s="4" t="s">
        <v>36</v>
      </c>
      <c r="E36" s="19" t="s">
        <v>0</v>
      </c>
      <c r="F36" s="19" t="s">
        <v>1</v>
      </c>
      <c r="G36" s="19" t="s">
        <v>3</v>
      </c>
      <c r="H36" s="19" t="s">
        <v>0</v>
      </c>
      <c r="I36" s="19" t="s">
        <v>1</v>
      </c>
      <c r="J36" s="19" t="s">
        <v>3</v>
      </c>
      <c r="K36" s="19" t="s">
        <v>39</v>
      </c>
      <c r="L36" s="19" t="s">
        <v>38</v>
      </c>
      <c r="M36" s="19" t="s">
        <v>37</v>
      </c>
      <c r="N36" s="19" t="s">
        <v>39</v>
      </c>
      <c r="O36" s="19" t="s">
        <v>38</v>
      </c>
      <c r="P36" s="19" t="s">
        <v>37</v>
      </c>
      <c r="Q36" s="26" t="s">
        <v>0</v>
      </c>
      <c r="R36" s="26" t="s">
        <v>1</v>
      </c>
      <c r="S36" s="26" t="s">
        <v>3</v>
      </c>
    </row>
    <row r="37" spans="1:19" ht="30" customHeight="1" x14ac:dyDescent="0.25">
      <c r="B37" s="132" t="s">
        <v>727</v>
      </c>
      <c r="C37" s="22">
        <v>11583.33</v>
      </c>
      <c r="D37" s="22">
        <v>13900</v>
      </c>
      <c r="E37" s="24"/>
      <c r="F37" s="24"/>
      <c r="G37" s="24"/>
      <c r="H37" s="23">
        <v>64792</v>
      </c>
      <c r="I37" s="23">
        <v>64792</v>
      </c>
      <c r="J37" s="23">
        <v>64792</v>
      </c>
      <c r="K37" s="19">
        <f>C37+E37+H37</f>
        <v>76375.33</v>
      </c>
      <c r="L37" s="19">
        <f>C37+F37+I37</f>
        <v>76375.33</v>
      </c>
      <c r="M37" s="19">
        <f>C37+G37+J37</f>
        <v>76375.33</v>
      </c>
      <c r="N37" s="23"/>
      <c r="O37" s="23"/>
      <c r="P37" s="23"/>
      <c r="Q37" s="26">
        <f t="shared" ref="Q37:S41" si="0">K37+N37</f>
        <v>76375.33</v>
      </c>
      <c r="R37" s="26">
        <f t="shared" si="0"/>
        <v>76375.33</v>
      </c>
      <c r="S37" s="26">
        <f t="shared" si="0"/>
        <v>76375.33</v>
      </c>
    </row>
    <row r="38" spans="1:19" x14ac:dyDescent="0.25">
      <c r="B38" s="132" t="s">
        <v>794</v>
      </c>
      <c r="C38" s="22">
        <v>0</v>
      </c>
      <c r="D38" s="22">
        <v>0</v>
      </c>
      <c r="E38" s="24"/>
      <c r="F38" s="24"/>
      <c r="G38" s="24"/>
      <c r="H38" s="23"/>
      <c r="I38" s="23"/>
      <c r="J38" s="23"/>
      <c r="K38" s="19">
        <f>C38+E38+H38</f>
        <v>0</v>
      </c>
      <c r="L38" s="19">
        <f>C38+F38+I38</f>
        <v>0</v>
      </c>
      <c r="M38" s="19">
        <f>C38+G38+J38</f>
        <v>0</v>
      </c>
      <c r="N38" s="23"/>
      <c r="O38" s="23"/>
      <c r="P38" s="23"/>
      <c r="Q38" s="26">
        <f t="shared" si="0"/>
        <v>0</v>
      </c>
      <c r="R38" s="26">
        <f t="shared" si="0"/>
        <v>0</v>
      </c>
      <c r="S38" s="26">
        <f t="shared" si="0"/>
        <v>0</v>
      </c>
    </row>
    <row r="39" spans="1:19" x14ac:dyDescent="0.25">
      <c r="B39" s="22" t="s">
        <v>176</v>
      </c>
      <c r="C39" s="22">
        <v>2316.67</v>
      </c>
      <c r="D39" s="22">
        <v>2780</v>
      </c>
      <c r="E39" s="24"/>
      <c r="F39" s="24"/>
      <c r="G39" s="24"/>
      <c r="H39" s="23">
        <v>12958.4</v>
      </c>
      <c r="I39" s="23">
        <v>12958.4</v>
      </c>
      <c r="J39" s="23">
        <v>12958.4</v>
      </c>
      <c r="K39" s="19">
        <f>+C39+E39+H39</f>
        <v>15275.07</v>
      </c>
      <c r="L39" s="19">
        <f>C39+F39+I39</f>
        <v>15275.07</v>
      </c>
      <c r="M39" s="19">
        <f t="shared" ref="M39:M40" si="1">C39+G39+J39</f>
        <v>15275.07</v>
      </c>
      <c r="N39" s="23"/>
      <c r="O39" s="23"/>
      <c r="P39" s="23"/>
      <c r="Q39" s="26">
        <f t="shared" si="0"/>
        <v>15275.07</v>
      </c>
      <c r="R39" s="26">
        <f t="shared" si="0"/>
        <v>15275.07</v>
      </c>
      <c r="S39" s="26">
        <f t="shared" si="0"/>
        <v>15275.07</v>
      </c>
    </row>
    <row r="40" spans="1:19" x14ac:dyDescent="0.25">
      <c r="B40" s="22"/>
      <c r="C40" s="22"/>
      <c r="D40" s="22"/>
      <c r="E40" s="23"/>
      <c r="F40" s="23"/>
      <c r="G40" s="23"/>
      <c r="H40" s="23"/>
      <c r="I40" s="23"/>
      <c r="J40" s="23"/>
      <c r="K40" s="19">
        <f t="shared" ref="K40:M41" si="2">C40+E40+H40</f>
        <v>0</v>
      </c>
      <c r="L40" s="19">
        <f t="shared" si="2"/>
        <v>0</v>
      </c>
      <c r="M40" s="19">
        <f t="shared" si="1"/>
        <v>0</v>
      </c>
      <c r="N40" s="23"/>
      <c r="O40" s="23"/>
      <c r="P40" s="23"/>
      <c r="Q40" s="26">
        <f t="shared" si="0"/>
        <v>0</v>
      </c>
      <c r="R40" s="26">
        <f t="shared" si="0"/>
        <v>0</v>
      </c>
      <c r="S40" s="26">
        <f t="shared" si="0"/>
        <v>0</v>
      </c>
    </row>
    <row r="41" spans="1:19" x14ac:dyDescent="0.25">
      <c r="B41" s="22"/>
      <c r="C41" s="22"/>
      <c r="D41" s="22"/>
      <c r="E41" s="23"/>
      <c r="F41" s="23"/>
      <c r="G41" s="23"/>
      <c r="H41" s="23"/>
      <c r="I41" s="23"/>
      <c r="J41" s="23"/>
      <c r="K41" s="19">
        <f t="shared" si="2"/>
        <v>0</v>
      </c>
      <c r="L41" s="19">
        <f t="shared" si="2"/>
        <v>0</v>
      </c>
      <c r="M41" s="19">
        <f t="shared" si="2"/>
        <v>0</v>
      </c>
      <c r="N41" s="23"/>
      <c r="O41" s="23"/>
      <c r="P41" s="23"/>
      <c r="Q41" s="26">
        <f t="shared" si="0"/>
        <v>0</v>
      </c>
      <c r="R41" s="26">
        <f t="shared" si="0"/>
        <v>0</v>
      </c>
      <c r="S41" s="26">
        <f t="shared" si="0"/>
        <v>0</v>
      </c>
    </row>
    <row r="42" spans="1:19" ht="28.5" x14ac:dyDescent="0.25">
      <c r="B42" s="18" t="s">
        <v>73</v>
      </c>
      <c r="C42" s="22">
        <f>+C37+C39</f>
        <v>13900</v>
      </c>
      <c r="D42" s="22">
        <f>+D37+D38+D39</f>
        <v>16680</v>
      </c>
      <c r="E42" s="24"/>
      <c r="F42" s="24"/>
      <c r="G42" s="24"/>
      <c r="H42" s="19">
        <f>+H37+H39</f>
        <v>77750.399999999994</v>
      </c>
      <c r="I42" s="19">
        <f t="shared" ref="I42:J42" si="3">+I37+I39</f>
        <v>77750.399999999994</v>
      </c>
      <c r="J42" s="19">
        <f t="shared" si="3"/>
        <v>77750.399999999994</v>
      </c>
      <c r="K42" s="19">
        <f>+K37+K38+K39</f>
        <v>91650.4</v>
      </c>
      <c r="L42" s="19">
        <f>+L37+L38+L39</f>
        <v>91650.4</v>
      </c>
      <c r="M42" s="19">
        <f>+M37+M38+M39</f>
        <v>91650.4</v>
      </c>
      <c r="N42" s="4" t="s">
        <v>2</v>
      </c>
      <c r="O42" s="4" t="s">
        <v>2</v>
      </c>
      <c r="P42" s="4" t="s">
        <v>2</v>
      </c>
      <c r="Q42" s="26" t="s">
        <v>2</v>
      </c>
      <c r="R42" s="26" t="s">
        <v>2</v>
      </c>
      <c r="S42" s="26" t="s">
        <v>2</v>
      </c>
    </row>
    <row r="43" spans="1:19" ht="42" x14ac:dyDescent="0.25">
      <c r="B43" s="18" t="s">
        <v>60</v>
      </c>
      <c r="C43" s="22"/>
      <c r="D43" s="22"/>
      <c r="E43" s="19" t="s">
        <v>72</v>
      </c>
      <c r="F43" s="19" t="s">
        <v>72</v>
      </c>
      <c r="G43" s="19" t="s">
        <v>72</v>
      </c>
      <c r="H43" s="19" t="s">
        <v>72</v>
      </c>
      <c r="I43" s="19" t="s">
        <v>72</v>
      </c>
      <c r="J43" s="19" t="s">
        <v>72</v>
      </c>
      <c r="K43" s="19">
        <f>C43</f>
        <v>0</v>
      </c>
      <c r="L43" s="19">
        <f>C43</f>
        <v>0</v>
      </c>
      <c r="M43" s="19">
        <f>C43</f>
        <v>0</v>
      </c>
      <c r="N43" s="4" t="s">
        <v>2</v>
      </c>
      <c r="O43" s="4" t="s">
        <v>2</v>
      </c>
      <c r="P43" s="4" t="s">
        <v>2</v>
      </c>
      <c r="Q43" s="26" t="s">
        <v>2</v>
      </c>
      <c r="R43" s="26" t="s">
        <v>2</v>
      </c>
      <c r="S43" s="26" t="s">
        <v>2</v>
      </c>
    </row>
    <row r="44" spans="1:19" x14ac:dyDescent="0.25">
      <c r="B44" s="18" t="s">
        <v>61</v>
      </c>
      <c r="C44" s="19">
        <f>+C42+C43</f>
        <v>13900</v>
      </c>
      <c r="D44" s="19">
        <f>+D42+D43</f>
        <v>16680</v>
      </c>
      <c r="E44" s="19">
        <f>E42</f>
        <v>0</v>
      </c>
      <c r="F44" s="19">
        <f t="shared" ref="F44:J44" si="4">F42</f>
        <v>0</v>
      </c>
      <c r="G44" s="19">
        <f t="shared" si="4"/>
        <v>0</v>
      </c>
      <c r="H44" s="19">
        <f t="shared" si="4"/>
        <v>77750.399999999994</v>
      </c>
      <c r="I44" s="19">
        <f t="shared" si="4"/>
        <v>77750.399999999994</v>
      </c>
      <c r="J44" s="19">
        <f t="shared" si="4"/>
        <v>77750.399999999994</v>
      </c>
      <c r="K44" s="4">
        <f>K42+K43</f>
        <v>91650.4</v>
      </c>
      <c r="L44" s="4">
        <f t="shared" ref="L44:M44" si="5">L42+L43</f>
        <v>91650.4</v>
      </c>
      <c r="M44" s="4">
        <f t="shared" si="5"/>
        <v>91650.4</v>
      </c>
      <c r="N44" s="4">
        <f>SUM(N37:N41)</f>
        <v>0</v>
      </c>
      <c r="O44" s="4">
        <f t="shared" ref="O44:P44" si="6">SUM(O37:O41)</f>
        <v>0</v>
      </c>
      <c r="P44" s="4">
        <f t="shared" si="6"/>
        <v>0</v>
      </c>
      <c r="Q44" s="26">
        <f>K44+N44</f>
        <v>91650.4</v>
      </c>
      <c r="R44" s="26">
        <f>L44+O44</f>
        <v>91650.4</v>
      </c>
      <c r="S44" s="26">
        <f>M44+P44</f>
        <v>91650.4</v>
      </c>
    </row>
  </sheetData>
  <mergeCells count="13">
    <mergeCell ref="N35:P35"/>
    <mergeCell ref="Q35:S35"/>
    <mergeCell ref="K17:K18"/>
    <mergeCell ref="B17:B18"/>
    <mergeCell ref="C17:C18"/>
    <mergeCell ref="D17:D18"/>
    <mergeCell ref="E17:E18"/>
    <mergeCell ref="F17:J17"/>
    <mergeCell ref="B31:E31"/>
    <mergeCell ref="B35:B36"/>
    <mergeCell ref="E35:G35"/>
    <mergeCell ref="H35:J35"/>
    <mergeCell ref="K35:M35"/>
  </mergeCells>
  <dataValidations count="4">
    <dataValidation type="list" allowBlank="1" showInputMessage="1" showErrorMessage="1" sqref="D19:D23" xr:uid="{FF4752C8-8E0F-4639-BF1D-9057FA498A3D}">
      <formula1>$V$2:$V$3</formula1>
    </dataValidation>
    <dataValidation type="custom" allowBlank="1" showInputMessage="1" showErrorMessage="1" sqref="N37:P41" xr:uid="{A30BDEEE-8752-4695-8583-643D371E9E0B}">
      <formula1>"-"</formula1>
    </dataValidation>
    <dataValidation type="list" allowBlank="1" showInputMessage="1" showErrorMessage="1" sqref="B13" xr:uid="{E3063BF9-AE5F-44C1-A2EC-B5A7A7FE0678}">
      <formula1>$U$2:$U$4</formula1>
    </dataValidation>
    <dataValidation showInputMessage="1" showErrorMessage="1" sqref="E19:E23" xr:uid="{B66FEE85-908A-42BE-AB2B-18E5CD698941}"/>
  </dataValidations>
  <hyperlinks>
    <hyperlink ref="C12" location="_ftn1" display="_ftn1" xr:uid="{5851795B-C5D4-4441-8A51-AFC53B49AC56}"/>
    <hyperlink ref="D12" location="_ftn2" display="_ftn2" xr:uid="{9F12C0FB-ADAA-406A-9993-ED29DBBE2B1A}"/>
    <hyperlink ref="E12" location="_ftn3" display="_ftn3" xr:uid="{592003CB-4EB0-42AB-9346-BEAC2833074F}"/>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46433" r:id="rId3" name="Check Box 1">
              <controlPr defaultSize="0" autoFill="0" autoLine="0" autoPict="0">
                <anchor moveWithCells="1">
                  <from>
                    <xdr:col>1</xdr:col>
                    <xdr:colOff>85725</xdr:colOff>
                    <xdr:row>28</xdr:row>
                    <xdr:rowOff>0</xdr:rowOff>
                  </from>
                  <to>
                    <xdr:col>2</xdr:col>
                    <xdr:colOff>1333500</xdr:colOff>
                    <xdr:row>29</xdr:row>
                    <xdr:rowOff>28575</xdr:rowOff>
                  </to>
                </anchor>
              </controlPr>
            </control>
          </mc:Choice>
        </mc:AlternateContent>
        <mc:AlternateContent xmlns:mc="http://schemas.openxmlformats.org/markup-compatibility/2006">
          <mc:Choice Requires="x14">
            <control shapeId="146434" r:id="rId4" name="Check Box 2">
              <controlPr defaultSize="0" autoFill="0" autoLine="0" autoPict="0">
                <anchor moveWithCells="1">
                  <from>
                    <xdr:col>1</xdr:col>
                    <xdr:colOff>85725</xdr:colOff>
                    <xdr:row>25</xdr:row>
                    <xdr:rowOff>171450</xdr:rowOff>
                  </from>
                  <to>
                    <xdr:col>3</xdr:col>
                    <xdr:colOff>152400</xdr:colOff>
                    <xdr:row>27</xdr:row>
                    <xdr:rowOff>28575</xdr:rowOff>
                  </to>
                </anchor>
              </controlPr>
            </control>
          </mc:Choice>
        </mc:AlternateContent>
        <mc:AlternateContent xmlns:mc="http://schemas.openxmlformats.org/markup-compatibility/2006">
          <mc:Choice Requires="x14">
            <control shapeId="146435" r:id="rId5" name="Check Box 3">
              <controlPr defaultSize="0" autoFill="0" autoLine="0" autoPict="0">
                <anchor moveWithCells="1">
                  <from>
                    <xdr:col>1</xdr:col>
                    <xdr:colOff>85725</xdr:colOff>
                    <xdr:row>27</xdr:row>
                    <xdr:rowOff>28575</xdr:rowOff>
                  </from>
                  <to>
                    <xdr:col>3</xdr:col>
                    <xdr:colOff>152400</xdr:colOff>
                    <xdr:row>28</xdr:row>
                    <xdr:rowOff>0</xdr:rowOff>
                  </to>
                </anchor>
              </controlPr>
            </control>
          </mc:Choice>
        </mc:AlternateContent>
        <mc:AlternateContent xmlns:mc="http://schemas.openxmlformats.org/markup-compatibility/2006">
          <mc:Choice Requires="x14">
            <control shapeId="146436" r:id="rId6" name="Check Box 4">
              <controlPr defaultSize="0" autoFill="0" autoLine="0" autoPict="0">
                <anchor moveWithCells="1">
                  <from>
                    <xdr:col>1</xdr:col>
                    <xdr:colOff>95250</xdr:colOff>
                    <xdr:row>29</xdr:row>
                    <xdr:rowOff>9525</xdr:rowOff>
                  </from>
                  <to>
                    <xdr:col>2</xdr:col>
                    <xdr:colOff>733425</xdr:colOff>
                    <xdr:row>30</xdr:row>
                    <xdr:rowOff>85725</xdr:rowOff>
                  </to>
                </anchor>
              </controlPr>
            </control>
          </mc:Choice>
        </mc:AlternateContent>
        <mc:AlternateContent xmlns:mc="http://schemas.openxmlformats.org/markup-compatibility/2006">
          <mc:Choice Requires="x14">
            <control shapeId="146437" r:id="rId7" name="Check Box 5">
              <controlPr defaultSize="0" autoFill="0" autoLine="0" autoPict="0">
                <anchor moveWithCells="1">
                  <from>
                    <xdr:col>1</xdr:col>
                    <xdr:colOff>85725</xdr:colOff>
                    <xdr:row>27</xdr:row>
                    <xdr:rowOff>0</xdr:rowOff>
                  </from>
                  <to>
                    <xdr:col>2</xdr:col>
                    <xdr:colOff>1333500</xdr:colOff>
                    <xdr:row>28</xdr:row>
                    <xdr:rowOff>28575</xdr:rowOff>
                  </to>
                </anchor>
              </controlPr>
            </control>
          </mc:Choice>
        </mc:AlternateContent>
        <mc:AlternateContent xmlns:mc="http://schemas.openxmlformats.org/markup-compatibility/2006">
          <mc:Choice Requires="x14">
            <control shapeId="146438" r:id="rId8" name="Check Box 6">
              <controlPr defaultSize="0" autoFill="0" autoLine="0" autoPict="0">
                <anchor moveWithCells="1">
                  <from>
                    <xdr:col>1</xdr:col>
                    <xdr:colOff>85725</xdr:colOff>
                    <xdr:row>26</xdr:row>
                    <xdr:rowOff>28575</xdr:rowOff>
                  </from>
                  <to>
                    <xdr:col>3</xdr:col>
                    <xdr:colOff>152400</xdr:colOff>
                    <xdr:row>27</xdr:row>
                    <xdr:rowOff>0</xdr:rowOff>
                  </to>
                </anchor>
              </controlPr>
            </control>
          </mc:Choice>
        </mc:AlternateContent>
        <mc:AlternateContent xmlns:mc="http://schemas.openxmlformats.org/markup-compatibility/2006">
          <mc:Choice Requires="x14">
            <control shapeId="146439" r:id="rId9" name="Check Box 7">
              <controlPr defaultSize="0" autoFill="0" autoLine="0" autoPict="0">
                <anchor moveWithCells="1">
                  <from>
                    <xdr:col>1</xdr:col>
                    <xdr:colOff>95250</xdr:colOff>
                    <xdr:row>28</xdr:row>
                    <xdr:rowOff>9525</xdr:rowOff>
                  </from>
                  <to>
                    <xdr:col>2</xdr:col>
                    <xdr:colOff>733425</xdr:colOff>
                    <xdr:row>29</xdr:row>
                    <xdr:rowOff>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3E5A84-FFFA-4C4F-8874-AF2076A7FE07}">
  <dimension ref="A1:W43"/>
  <sheetViews>
    <sheetView workbookViewId="0">
      <selection activeCell="C7" sqref="C7"/>
    </sheetView>
  </sheetViews>
  <sheetFormatPr defaultRowHeight="15" x14ac:dyDescent="0.25"/>
  <cols>
    <col min="1" max="1" width="6" customWidth="1"/>
    <col min="2" max="2" width="33.140625" customWidth="1"/>
    <col min="3" max="3" width="24.85546875" customWidth="1"/>
    <col min="4" max="4" width="31.5703125" customWidth="1"/>
    <col min="5" max="5" width="36.85546875" customWidth="1"/>
    <col min="6" max="6" width="28.42578125" customWidth="1"/>
    <col min="7" max="7" width="22.28515625" customWidth="1"/>
    <col min="8" max="8" width="12.28515625" customWidth="1"/>
    <col min="9" max="9" width="11.42578125" customWidth="1"/>
    <col min="10" max="10" width="13.85546875" customWidth="1"/>
    <col min="11" max="11" width="18.5703125" bestFit="1" customWidth="1"/>
    <col min="12" max="12" width="13.7109375" customWidth="1"/>
    <col min="13" max="13" width="11.140625" bestFit="1" customWidth="1"/>
    <col min="14" max="14" width="9.5703125" customWidth="1"/>
    <col min="15" max="15" width="8.140625" customWidth="1"/>
    <col min="16" max="16" width="8" customWidth="1"/>
    <col min="17" max="18" width="10.85546875" bestFit="1" customWidth="1"/>
    <col min="19" max="19" width="10.5703125"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1086</v>
      </c>
      <c r="E5" s="25" t="s">
        <v>83</v>
      </c>
      <c r="F5" s="20">
        <v>2021</v>
      </c>
      <c r="H5" s="3"/>
      <c r="I5" s="3"/>
      <c r="J5" s="3"/>
    </row>
    <row r="6" spans="1:23" ht="63" customHeight="1" x14ac:dyDescent="0.25">
      <c r="B6" s="25" t="s">
        <v>80</v>
      </c>
      <c r="C6" s="29" t="s">
        <v>759</v>
      </c>
      <c r="E6" s="25" t="s">
        <v>84</v>
      </c>
      <c r="F6" s="20">
        <v>2026</v>
      </c>
      <c r="H6" s="3"/>
      <c r="I6" s="3"/>
      <c r="J6" s="3"/>
    </row>
    <row r="7" spans="1:23" ht="18" customHeight="1" x14ac:dyDescent="0.25">
      <c r="B7" s="25" t="s">
        <v>81</v>
      </c>
      <c r="C7" s="321">
        <v>11004</v>
      </c>
      <c r="H7" s="3"/>
      <c r="I7" s="3"/>
      <c r="J7" s="3"/>
    </row>
    <row r="8" spans="1:23" ht="114.75" x14ac:dyDescent="0.25">
      <c r="B8" s="25" t="s">
        <v>82</v>
      </c>
      <c r="C8" s="322" t="s">
        <v>760</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149.25" x14ac:dyDescent="0.3">
      <c r="B13" s="131" t="s">
        <v>48</v>
      </c>
      <c r="C13" s="133" t="s">
        <v>761</v>
      </c>
      <c r="D13" s="21"/>
      <c r="E13" s="132" t="s">
        <v>150</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1.75" customHeight="1" x14ac:dyDescent="0.25">
      <c r="B17" s="365" t="s">
        <v>89</v>
      </c>
      <c r="C17" s="365" t="s">
        <v>90</v>
      </c>
      <c r="D17" s="365" t="s">
        <v>91</v>
      </c>
      <c r="E17" s="365" t="s">
        <v>92</v>
      </c>
      <c r="F17" s="364" t="s">
        <v>93</v>
      </c>
      <c r="G17" s="364"/>
      <c r="H17" s="364"/>
      <c r="I17" s="364"/>
      <c r="J17" s="364"/>
      <c r="K17" s="364" t="s">
        <v>94</v>
      </c>
    </row>
    <row r="18" spans="1:11" ht="21" customHeight="1" x14ac:dyDescent="0.25">
      <c r="B18" s="365"/>
      <c r="C18" s="365"/>
      <c r="D18" s="365"/>
      <c r="E18" s="365"/>
      <c r="F18" s="27" t="s">
        <v>51</v>
      </c>
      <c r="G18" s="27" t="s">
        <v>52</v>
      </c>
      <c r="H18" s="27" t="s">
        <v>0</v>
      </c>
      <c r="I18" s="27" t="s">
        <v>1</v>
      </c>
      <c r="J18" s="27" t="s">
        <v>3</v>
      </c>
      <c r="K18" s="364"/>
    </row>
    <row r="19" spans="1:11" ht="33" customHeight="1" x14ac:dyDescent="0.25">
      <c r="B19" s="21" t="s">
        <v>762</v>
      </c>
      <c r="C19" s="21" t="s">
        <v>111</v>
      </c>
      <c r="D19" s="21"/>
      <c r="E19" s="21"/>
      <c r="F19" s="21">
        <v>0</v>
      </c>
      <c r="G19" s="323">
        <f>+'[4]Հ3 Մաս 1 և 2'!$F$38</f>
        <v>216381</v>
      </c>
      <c r="H19" s="323">
        <f>+'[4]Հ3 Մաս 1 և 2'!$G$38</f>
        <v>441444.9</v>
      </c>
      <c r="I19" s="323">
        <f>+'[4]Հ3 Մաս 1 և 2'!$H$38</f>
        <v>441444.9</v>
      </c>
      <c r="J19" s="323">
        <f>+'[4]Հ3 Մաս 1 և 2'!$I$38</f>
        <v>220722.5</v>
      </c>
      <c r="K19" s="21"/>
    </row>
    <row r="20" spans="1:11" ht="39.75" customHeight="1" x14ac:dyDescent="0.25"/>
    <row r="21" spans="1:11" ht="17.25" x14ac:dyDescent="0.25">
      <c r="B21" s="3"/>
      <c r="C21" s="3"/>
      <c r="D21" s="3"/>
      <c r="E21" s="3"/>
      <c r="F21" s="3"/>
      <c r="G21" s="3"/>
      <c r="H21" s="3"/>
      <c r="I21" s="3"/>
      <c r="J21" s="3"/>
    </row>
    <row r="22" spans="1:11" ht="15.75" x14ac:dyDescent="0.25">
      <c r="A22" s="12" t="s">
        <v>53</v>
      </c>
      <c r="C22" s="13"/>
      <c r="D22" s="13"/>
      <c r="E22" s="13"/>
      <c r="F22" s="13"/>
      <c r="G22" s="13"/>
      <c r="H22" s="13"/>
      <c r="I22" s="13"/>
      <c r="J22" s="13"/>
    </row>
    <row r="23" spans="1:11" x14ac:dyDescent="0.25">
      <c r="A23" s="14"/>
      <c r="C23" s="15"/>
      <c r="D23" s="15"/>
      <c r="E23" s="15"/>
      <c r="F23" s="15"/>
      <c r="G23" s="15"/>
      <c r="H23" s="15"/>
      <c r="I23" s="15"/>
      <c r="J23" s="15"/>
    </row>
    <row r="24" spans="1:11" x14ac:dyDescent="0.25">
      <c r="A24" s="16" t="s">
        <v>54</v>
      </c>
      <c r="C24" s="17"/>
      <c r="D24" s="17"/>
      <c r="E24" s="13"/>
      <c r="F24" s="13"/>
      <c r="G24" s="13"/>
      <c r="H24" s="13"/>
      <c r="I24" s="13"/>
      <c r="J24" s="13"/>
    </row>
    <row r="25" spans="1:11" x14ac:dyDescent="0.25">
      <c r="B25" s="17"/>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A29" s="16" t="s">
        <v>55</v>
      </c>
      <c r="E29" s="13"/>
      <c r="F29" s="13"/>
      <c r="G29" s="13"/>
      <c r="H29" s="13"/>
      <c r="I29" s="13"/>
      <c r="J29" s="13"/>
    </row>
    <row r="30" spans="1:11" ht="62.25" customHeight="1" x14ac:dyDescent="0.25">
      <c r="B30" s="360"/>
      <c r="C30" s="361"/>
      <c r="D30" s="361"/>
      <c r="E30" s="362"/>
      <c r="F30" s="13"/>
      <c r="G30" s="13"/>
      <c r="H30" s="13"/>
      <c r="I30" s="13"/>
      <c r="J30" s="13"/>
    </row>
    <row r="31" spans="1:11" ht="17.25" x14ac:dyDescent="0.25">
      <c r="B31" s="3"/>
      <c r="C31" s="3"/>
      <c r="D31" s="3"/>
      <c r="E31" s="13"/>
      <c r="F31" s="13"/>
      <c r="G31" s="13"/>
      <c r="H31" s="13"/>
      <c r="I31" s="13"/>
      <c r="J31" s="13"/>
    </row>
    <row r="32" spans="1:11" x14ac:dyDescent="0.25">
      <c r="A32" s="7" t="s">
        <v>56</v>
      </c>
    </row>
    <row r="34" spans="2:19" ht="43.5" customHeight="1" x14ac:dyDescent="0.25">
      <c r="B34" s="363" t="s">
        <v>95</v>
      </c>
      <c r="C34" s="4" t="s">
        <v>96</v>
      </c>
      <c r="D34" s="4" t="s">
        <v>97</v>
      </c>
      <c r="E34" s="358" t="s">
        <v>98</v>
      </c>
      <c r="F34" s="358"/>
      <c r="G34" s="358"/>
      <c r="H34" s="358" t="s">
        <v>99</v>
      </c>
      <c r="I34" s="358"/>
      <c r="J34" s="358"/>
      <c r="K34" s="358" t="s">
        <v>100</v>
      </c>
      <c r="L34" s="358"/>
      <c r="M34" s="358"/>
      <c r="N34" s="358" t="s">
        <v>101</v>
      </c>
      <c r="O34" s="358"/>
      <c r="P34" s="358"/>
      <c r="Q34" s="359" t="s">
        <v>102</v>
      </c>
      <c r="R34" s="359"/>
      <c r="S34" s="359"/>
    </row>
    <row r="35" spans="2:19" ht="30" customHeight="1" x14ac:dyDescent="0.25">
      <c r="B35" s="363"/>
      <c r="C35" s="4" t="s">
        <v>35</v>
      </c>
      <c r="D35" s="4" t="s">
        <v>36</v>
      </c>
      <c r="E35" s="19" t="s">
        <v>0</v>
      </c>
      <c r="F35" s="19" t="s">
        <v>1</v>
      </c>
      <c r="G35" s="19" t="s">
        <v>3</v>
      </c>
      <c r="H35" s="19" t="s">
        <v>0</v>
      </c>
      <c r="I35" s="19" t="s">
        <v>1</v>
      </c>
      <c r="J35" s="19" t="s">
        <v>3</v>
      </c>
      <c r="K35" s="19" t="s">
        <v>39</v>
      </c>
      <c r="L35" s="19" t="s">
        <v>38</v>
      </c>
      <c r="M35" s="19" t="s">
        <v>37</v>
      </c>
      <c r="N35" s="19" t="s">
        <v>39</v>
      </c>
      <c r="O35" s="19" t="s">
        <v>38</v>
      </c>
      <c r="P35" s="19" t="s">
        <v>37</v>
      </c>
      <c r="Q35" s="26" t="s">
        <v>0</v>
      </c>
      <c r="R35" s="26" t="s">
        <v>1</v>
      </c>
      <c r="S35" s="26" t="s">
        <v>3</v>
      </c>
    </row>
    <row r="36" spans="2:19" s="86" customFormat="1" ht="17.25" customHeight="1" x14ac:dyDescent="0.25">
      <c r="B36" s="51" t="s">
        <v>552</v>
      </c>
      <c r="C36" s="51">
        <f>+'[4]Հ3 Մաս 1 և 2'!$E$38</f>
        <v>0</v>
      </c>
      <c r="D36" s="51">
        <f>+'[4]Հ3 Մաս 1 և 2'!$F$38</f>
        <v>216381</v>
      </c>
      <c r="E36" s="93"/>
      <c r="F36" s="93"/>
      <c r="G36" s="93"/>
      <c r="H36" s="324">
        <v>441444.9</v>
      </c>
      <c r="I36" s="93">
        <f>+'[4]Հ3 Մաս 1 և 2'!$H$38</f>
        <v>441444.9</v>
      </c>
      <c r="J36" s="93">
        <f>+'[4]Հ3 Մաս 1 և 2'!$I$38</f>
        <v>220722.5</v>
      </c>
      <c r="K36" s="52">
        <f>C36+E36+H36</f>
        <v>441444.9</v>
      </c>
      <c r="L36" s="52">
        <f>C36+F36+I36</f>
        <v>441444.9</v>
      </c>
      <c r="M36" s="52">
        <f>C36+G36+J36</f>
        <v>220722.5</v>
      </c>
      <c r="N36" s="93"/>
      <c r="O36" s="93"/>
      <c r="P36" s="93"/>
      <c r="Q36" s="70">
        <f>K36+N36</f>
        <v>441444.9</v>
      </c>
      <c r="R36" s="70">
        <f>L36+O36</f>
        <v>441444.9</v>
      </c>
      <c r="S36" s="70">
        <f>M36+P36</f>
        <v>220722.5</v>
      </c>
    </row>
    <row r="37" spans="2:19" s="86" customFormat="1" ht="27" x14ac:dyDescent="0.25">
      <c r="B37" s="270" t="s">
        <v>73</v>
      </c>
      <c r="C37" s="51"/>
      <c r="D37" s="51">
        <f>SUM(D36)</f>
        <v>216381</v>
      </c>
      <c r="E37" s="52">
        <f t="shared" ref="E37:J37" si="0">SUM(E36:E36)</f>
        <v>0</v>
      </c>
      <c r="F37" s="52">
        <f t="shared" si="0"/>
        <v>0</v>
      </c>
      <c r="G37" s="52">
        <f t="shared" si="0"/>
        <v>0</v>
      </c>
      <c r="H37" s="52">
        <f t="shared" si="0"/>
        <v>441444.9</v>
      </c>
      <c r="I37" s="52">
        <f t="shared" si="0"/>
        <v>441444.9</v>
      </c>
      <c r="J37" s="52">
        <f t="shared" si="0"/>
        <v>220722.5</v>
      </c>
      <c r="K37" s="52">
        <f t="shared" ref="K37" si="1">C37+E37+H37</f>
        <v>441444.9</v>
      </c>
      <c r="L37" s="52">
        <f>C37+F37+I37</f>
        <v>441444.9</v>
      </c>
      <c r="M37" s="52">
        <f>C37+G37+J37</f>
        <v>220722.5</v>
      </c>
      <c r="N37" s="82" t="s">
        <v>2</v>
      </c>
      <c r="O37" s="82" t="s">
        <v>2</v>
      </c>
      <c r="P37" s="82" t="s">
        <v>2</v>
      </c>
      <c r="Q37" s="70" t="s">
        <v>2</v>
      </c>
      <c r="R37" s="70" t="s">
        <v>2</v>
      </c>
      <c r="S37" s="70" t="s">
        <v>2</v>
      </c>
    </row>
    <row r="38" spans="2:19" s="86" customFormat="1" ht="27" x14ac:dyDescent="0.25">
      <c r="B38" s="270" t="s">
        <v>60</v>
      </c>
      <c r="C38" s="51"/>
      <c r="D38" s="51"/>
      <c r="E38" s="52" t="s">
        <v>72</v>
      </c>
      <c r="F38" s="52" t="s">
        <v>72</v>
      </c>
      <c r="G38" s="52" t="s">
        <v>72</v>
      </c>
      <c r="H38" s="52" t="s">
        <v>72</v>
      </c>
      <c r="I38" s="52" t="s">
        <v>72</v>
      </c>
      <c r="J38" s="52" t="s">
        <v>72</v>
      </c>
      <c r="K38" s="52"/>
      <c r="L38" s="52">
        <f>C38</f>
        <v>0</v>
      </c>
      <c r="M38" s="52">
        <f>C38</f>
        <v>0</v>
      </c>
      <c r="N38" s="82" t="s">
        <v>2</v>
      </c>
      <c r="O38" s="82" t="s">
        <v>2</v>
      </c>
      <c r="P38" s="82" t="s">
        <v>2</v>
      </c>
      <c r="Q38" s="70" t="s">
        <v>2</v>
      </c>
      <c r="R38" s="70" t="s">
        <v>2</v>
      </c>
      <c r="S38" s="70" t="s">
        <v>2</v>
      </c>
    </row>
    <row r="39" spans="2:19" s="293" customFormat="1" x14ac:dyDescent="0.25">
      <c r="B39" s="272" t="s">
        <v>698</v>
      </c>
      <c r="C39" s="259">
        <f>SUM(C36:C36)</f>
        <v>0</v>
      </c>
      <c r="D39" s="259">
        <f>SUM(D36:D36)</f>
        <v>216381</v>
      </c>
      <c r="E39" s="259">
        <f>E37</f>
        <v>0</v>
      </c>
      <c r="F39" s="259">
        <f t="shared" ref="F39:J39" si="2">F37</f>
        <v>0</v>
      </c>
      <c r="G39" s="259">
        <f t="shared" si="2"/>
        <v>0</v>
      </c>
      <c r="H39" s="259">
        <f t="shared" si="2"/>
        <v>441444.9</v>
      </c>
      <c r="I39" s="259">
        <f t="shared" si="2"/>
        <v>441444.9</v>
      </c>
      <c r="J39" s="259">
        <f t="shared" si="2"/>
        <v>220722.5</v>
      </c>
      <c r="K39" s="260">
        <f>K37+K38</f>
        <v>441444.9</v>
      </c>
      <c r="L39" s="260">
        <f t="shared" ref="L39:M39" si="3">L37+L38</f>
        <v>441444.9</v>
      </c>
      <c r="M39" s="260">
        <f t="shared" si="3"/>
        <v>220722.5</v>
      </c>
      <c r="N39" s="260">
        <f>SUM(N36:N36)</f>
        <v>0</v>
      </c>
      <c r="O39" s="260">
        <f>SUM(O36:O36)</f>
        <v>0</v>
      </c>
      <c r="P39" s="260">
        <f>SUM(P36:P36)</f>
        <v>0</v>
      </c>
      <c r="Q39" s="263">
        <f>K39+N39</f>
        <v>441444.9</v>
      </c>
      <c r="R39" s="263">
        <f>L39+O39</f>
        <v>441444.9</v>
      </c>
      <c r="S39" s="263">
        <f>M39+P39</f>
        <v>220722.5</v>
      </c>
    </row>
    <row r="41" spans="2:19" x14ac:dyDescent="0.25">
      <c r="B41" t="s">
        <v>763</v>
      </c>
      <c r="K41" s="86"/>
      <c r="L41" s="86"/>
      <c r="M41" s="86"/>
      <c r="N41" s="86"/>
    </row>
    <row r="42" spans="2:19" x14ac:dyDescent="0.25">
      <c r="K42" s="86"/>
      <c r="L42" s="86"/>
      <c r="M42" s="86"/>
      <c r="N42" s="86"/>
    </row>
    <row r="43" spans="2:19" x14ac:dyDescent="0.25">
      <c r="M43" s="84"/>
    </row>
  </sheetData>
  <mergeCells count="13">
    <mergeCell ref="K17:K18"/>
    <mergeCell ref="B17:B18"/>
    <mergeCell ref="C17:C18"/>
    <mergeCell ref="D17:D18"/>
    <mergeCell ref="E17:E18"/>
    <mergeCell ref="F17:J17"/>
    <mergeCell ref="Q34:S34"/>
    <mergeCell ref="B30:E30"/>
    <mergeCell ref="B34:B35"/>
    <mergeCell ref="E34:G34"/>
    <mergeCell ref="H34:J34"/>
    <mergeCell ref="K34:M34"/>
    <mergeCell ref="N34:P34"/>
  </mergeCells>
  <dataValidations count="4">
    <dataValidation type="list" allowBlank="1" showInputMessage="1" showErrorMessage="1" sqref="D19" xr:uid="{0859D394-0A24-4534-A811-4352F51C6F39}">
      <formula1>$V$2:$V$3</formula1>
    </dataValidation>
    <dataValidation showInputMessage="1" showErrorMessage="1" sqref="E19" xr:uid="{70EA0801-0F41-4231-861B-F54B6691046E}"/>
    <dataValidation type="custom" allowBlank="1" showInputMessage="1" showErrorMessage="1" sqref="N36:P36" xr:uid="{EC170DDD-75D9-4C9D-9F3F-595D3834BC30}">
      <formula1>"-"</formula1>
    </dataValidation>
    <dataValidation type="list" allowBlank="1" showInputMessage="1" showErrorMessage="1" sqref="B13" xr:uid="{17696C2D-69C6-4E8B-9CB7-49C4457D0930}">
      <formula1>$U$2:$U$4</formula1>
    </dataValidation>
  </dataValidations>
  <hyperlinks>
    <hyperlink ref="C12" location="_ftn1" display="_ftn1" xr:uid="{43104B40-7BBC-4CA9-B7DD-DAA57AF87BE2}"/>
    <hyperlink ref="D12" location="_ftn2" display="_ftn2" xr:uid="{9785A8B9-A548-4CE3-A8FB-0945EFF13F2C}"/>
    <hyperlink ref="E12" location="_ftn3" display="_ftn3" xr:uid="{50ED1737-820F-415B-8FC0-750341CDF4BF}"/>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95937" r:id="rId3" name="Check Box 1">
              <controlPr defaultSize="0" autoFill="0" autoLine="0" autoPict="0">
                <anchor moveWithCells="1">
                  <from>
                    <xdr:col>1</xdr:col>
                    <xdr:colOff>85725</xdr:colOff>
                    <xdr:row>26</xdr:row>
                    <xdr:rowOff>0</xdr:rowOff>
                  </from>
                  <to>
                    <xdr:col>2</xdr:col>
                    <xdr:colOff>1171575</xdr:colOff>
                    <xdr:row>27</xdr:row>
                    <xdr:rowOff>38100</xdr:rowOff>
                  </to>
                </anchor>
              </controlPr>
            </control>
          </mc:Choice>
        </mc:AlternateContent>
        <mc:AlternateContent xmlns:mc="http://schemas.openxmlformats.org/markup-compatibility/2006">
          <mc:Choice Requires="x14">
            <control shapeId="295938" r:id="rId4" name="Check Box 2">
              <controlPr defaultSize="0" autoFill="0" autoLine="0" autoPict="0">
                <anchor moveWithCells="1">
                  <from>
                    <xdr:col>1</xdr:col>
                    <xdr:colOff>85725</xdr:colOff>
                    <xdr:row>23</xdr:row>
                    <xdr:rowOff>171450</xdr:rowOff>
                  </from>
                  <to>
                    <xdr:col>3</xdr:col>
                    <xdr:colOff>266700</xdr:colOff>
                    <xdr:row>25</xdr:row>
                    <xdr:rowOff>47625</xdr:rowOff>
                  </to>
                </anchor>
              </controlPr>
            </control>
          </mc:Choice>
        </mc:AlternateContent>
        <mc:AlternateContent xmlns:mc="http://schemas.openxmlformats.org/markup-compatibility/2006">
          <mc:Choice Requires="x14">
            <control shapeId="295939" r:id="rId5" name="Check Box 3">
              <controlPr defaultSize="0" autoFill="0" autoLine="0" autoPict="0">
                <anchor moveWithCells="1">
                  <from>
                    <xdr:col>1</xdr:col>
                    <xdr:colOff>85725</xdr:colOff>
                    <xdr:row>25</xdr:row>
                    <xdr:rowOff>28575</xdr:rowOff>
                  </from>
                  <to>
                    <xdr:col>3</xdr:col>
                    <xdr:colOff>266700</xdr:colOff>
                    <xdr:row>26</xdr:row>
                    <xdr:rowOff>9525</xdr:rowOff>
                  </to>
                </anchor>
              </controlPr>
            </control>
          </mc:Choice>
        </mc:AlternateContent>
        <mc:AlternateContent xmlns:mc="http://schemas.openxmlformats.org/markup-compatibility/2006">
          <mc:Choice Requires="x14">
            <control shapeId="295940" r:id="rId6" name="Check Box 4">
              <controlPr defaultSize="0" autoFill="0" autoLine="0" autoPict="0">
                <anchor moveWithCells="1">
                  <from>
                    <xdr:col>1</xdr:col>
                    <xdr:colOff>95250</xdr:colOff>
                    <xdr:row>27</xdr:row>
                    <xdr:rowOff>9525</xdr:rowOff>
                  </from>
                  <to>
                    <xdr:col>2</xdr:col>
                    <xdr:colOff>571500</xdr:colOff>
                    <xdr:row>28</xdr:row>
                    <xdr:rowOff>9525</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6E1A9-A637-447B-AE4D-0FF23822D421}">
  <dimension ref="A1:Y13"/>
  <sheetViews>
    <sheetView workbookViewId="0">
      <selection activeCell="E8" sqref="E8"/>
    </sheetView>
  </sheetViews>
  <sheetFormatPr defaultRowHeight="15" x14ac:dyDescent="0.25"/>
  <cols>
    <col min="1" max="1" width="4.85546875" customWidth="1"/>
    <col min="2" max="2" width="9.85546875" customWidth="1"/>
    <col min="3" max="3" width="11.28515625" customWidth="1"/>
    <col min="4" max="4" width="10" customWidth="1"/>
    <col min="5" max="5" width="14" customWidth="1"/>
    <col min="6" max="6" width="19.42578125" customWidth="1"/>
    <col min="7" max="7" width="14" customWidth="1"/>
    <col min="8" max="8" width="12.28515625" customWidth="1"/>
    <col min="9" max="9" width="12.42578125" customWidth="1"/>
    <col min="10" max="10" width="10.28515625" customWidth="1"/>
    <col min="11" max="12" width="11" bestFit="1" customWidth="1"/>
    <col min="13" max="13" width="9.42578125" bestFit="1" customWidth="1"/>
    <col min="14" max="15" width="11" bestFit="1" customWidth="1"/>
    <col min="16" max="16" width="9.42578125" bestFit="1" customWidth="1"/>
    <col min="17" max="17" width="9.5703125" customWidth="1"/>
    <col min="18" max="18" width="12.140625" customWidth="1"/>
    <col min="19" max="19" width="9" bestFit="1" customWidth="1"/>
    <col min="20" max="21" width="9.7109375" bestFit="1" customWidth="1"/>
    <col min="22" max="22" width="16.28515625" customWidth="1"/>
    <col min="23" max="23" width="11.140625" customWidth="1"/>
    <col min="24" max="24" width="10.42578125" customWidth="1"/>
    <col min="25" max="25" width="25" customWidth="1"/>
  </cols>
  <sheetData>
    <row r="1" spans="1:25" ht="19.5" x14ac:dyDescent="0.25">
      <c r="A1" s="1" t="s">
        <v>764</v>
      </c>
      <c r="B1" s="1"/>
      <c r="C1" s="1"/>
      <c r="D1" s="1"/>
      <c r="E1" s="1"/>
      <c r="F1" s="1"/>
      <c r="G1" s="1"/>
      <c r="H1" s="1"/>
      <c r="I1" s="1"/>
      <c r="J1" s="1"/>
      <c r="K1" s="1"/>
      <c r="L1" s="1"/>
      <c r="M1" s="1"/>
      <c r="N1" s="1"/>
      <c r="O1" s="1"/>
      <c r="P1" s="1"/>
      <c r="Q1" s="1"/>
      <c r="R1" s="1"/>
      <c r="S1" s="1"/>
      <c r="T1" s="1"/>
      <c r="U1" s="1"/>
    </row>
    <row r="2" spans="1:25" ht="17.25" x14ac:dyDescent="0.25">
      <c r="A2" s="3"/>
      <c r="B2" s="3"/>
      <c r="C2" s="3"/>
      <c r="D2" s="3"/>
      <c r="E2" s="3"/>
      <c r="F2" s="3"/>
      <c r="G2" s="3"/>
      <c r="H2" s="3"/>
      <c r="I2" s="3"/>
      <c r="J2" s="3"/>
      <c r="K2" s="3"/>
      <c r="L2" s="3"/>
      <c r="M2" s="3"/>
      <c r="N2" s="3"/>
      <c r="O2" s="3"/>
      <c r="P2" s="3"/>
      <c r="Q2" s="3"/>
      <c r="R2" s="3"/>
      <c r="S2" s="3"/>
      <c r="T2" s="3"/>
      <c r="U2" s="3"/>
    </row>
    <row r="3" spans="1:25" ht="17.25" x14ac:dyDescent="0.25">
      <c r="A3" s="1" t="s">
        <v>765</v>
      </c>
      <c r="B3" s="3"/>
      <c r="C3" s="3"/>
      <c r="D3" s="3"/>
      <c r="E3" s="3"/>
      <c r="F3" s="3"/>
      <c r="G3" s="3"/>
      <c r="H3" s="3"/>
      <c r="I3" s="3"/>
      <c r="J3" s="3"/>
      <c r="K3" s="3"/>
      <c r="L3" s="3"/>
      <c r="M3" s="3"/>
      <c r="N3" s="3"/>
      <c r="O3" s="3"/>
      <c r="P3" s="3"/>
      <c r="Q3" s="3"/>
      <c r="R3" s="3"/>
      <c r="S3" s="3"/>
      <c r="T3" s="3"/>
      <c r="U3" s="3"/>
    </row>
    <row r="4" spans="1:25" ht="17.25" x14ac:dyDescent="0.25">
      <c r="A4" s="3"/>
      <c r="B4" s="3"/>
      <c r="C4" s="3"/>
      <c r="D4" s="3"/>
      <c r="E4" s="3"/>
      <c r="F4" s="3"/>
      <c r="G4" s="3"/>
      <c r="H4" s="3"/>
      <c r="I4" s="3"/>
      <c r="J4" s="3"/>
      <c r="K4" s="3"/>
      <c r="L4" s="3"/>
      <c r="M4" s="3"/>
      <c r="N4" s="3"/>
      <c r="O4" s="3"/>
      <c r="P4" s="3"/>
      <c r="Q4" s="3"/>
      <c r="R4" s="3"/>
      <c r="S4" s="3"/>
      <c r="T4" s="3"/>
      <c r="U4" s="3"/>
    </row>
    <row r="5" spans="1:25" ht="17.25" x14ac:dyDescent="0.25">
      <c r="A5" s="3"/>
      <c r="B5" s="3"/>
      <c r="C5" s="3"/>
      <c r="D5" s="3"/>
      <c r="E5" s="3"/>
      <c r="F5" s="3"/>
      <c r="G5" s="3"/>
      <c r="H5" s="3"/>
      <c r="I5" s="3"/>
      <c r="J5" s="3"/>
      <c r="K5" s="3"/>
      <c r="L5" s="3"/>
      <c r="M5" s="3"/>
      <c r="N5" s="3"/>
      <c r="O5" s="3"/>
      <c r="P5" s="3"/>
      <c r="Q5" s="3"/>
      <c r="R5" s="3"/>
      <c r="S5" s="3"/>
      <c r="T5" s="3"/>
      <c r="U5" s="3"/>
    </row>
    <row r="6" spans="1:25" ht="37.5" customHeight="1" x14ac:dyDescent="0.25">
      <c r="B6" s="388" t="s">
        <v>64</v>
      </c>
      <c r="C6" s="388"/>
      <c r="D6" s="383" t="s">
        <v>34</v>
      </c>
      <c r="E6" s="383"/>
      <c r="F6" s="383" t="s">
        <v>68</v>
      </c>
      <c r="G6" s="383"/>
      <c r="H6" s="383" t="s">
        <v>57</v>
      </c>
      <c r="I6" s="383"/>
      <c r="J6" s="383"/>
      <c r="K6" s="383" t="s">
        <v>58</v>
      </c>
      <c r="L6" s="383"/>
      <c r="M6" s="383"/>
      <c r="N6" s="358" t="s">
        <v>59</v>
      </c>
      <c r="O6" s="358"/>
      <c r="P6" s="358"/>
      <c r="Q6" s="383" t="s">
        <v>70</v>
      </c>
      <c r="R6" s="383"/>
      <c r="S6" s="383"/>
      <c r="T6" s="384" t="s">
        <v>65</v>
      </c>
      <c r="U6" s="384"/>
      <c r="V6" s="384"/>
      <c r="W6" s="383" t="s">
        <v>78</v>
      </c>
      <c r="X6" s="383" t="s">
        <v>76</v>
      </c>
      <c r="Y6" s="383" t="s">
        <v>66</v>
      </c>
    </row>
    <row r="7" spans="1:25" ht="25.5" x14ac:dyDescent="0.25">
      <c r="B7" s="327" t="s">
        <v>32</v>
      </c>
      <c r="C7" s="327" t="s">
        <v>33</v>
      </c>
      <c r="D7" s="325" t="s">
        <v>67</v>
      </c>
      <c r="E7" s="327" t="s">
        <v>33</v>
      </c>
      <c r="F7" s="325" t="s">
        <v>30</v>
      </c>
      <c r="G7" s="325" t="s">
        <v>69</v>
      </c>
      <c r="H7" s="325" t="s">
        <v>0</v>
      </c>
      <c r="I7" s="325" t="s">
        <v>1</v>
      </c>
      <c r="J7" s="325" t="s">
        <v>3</v>
      </c>
      <c r="K7" s="325" t="s">
        <v>0</v>
      </c>
      <c r="L7" s="325" t="s">
        <v>1</v>
      </c>
      <c r="M7" s="325" t="s">
        <v>3</v>
      </c>
      <c r="N7" s="19" t="s">
        <v>39</v>
      </c>
      <c r="O7" s="19" t="s">
        <v>38</v>
      </c>
      <c r="P7" s="19" t="s">
        <v>37</v>
      </c>
      <c r="Q7" s="325" t="s">
        <v>0</v>
      </c>
      <c r="R7" s="325" t="s">
        <v>1</v>
      </c>
      <c r="S7" s="325" t="s">
        <v>3</v>
      </c>
      <c r="T7" s="326" t="s">
        <v>0</v>
      </c>
      <c r="U7" s="326" t="s">
        <v>1</v>
      </c>
      <c r="V7" s="326" t="s">
        <v>3</v>
      </c>
      <c r="W7" s="383"/>
      <c r="X7" s="383"/>
      <c r="Y7" s="383"/>
    </row>
    <row r="8" spans="1:25" ht="165.75" x14ac:dyDescent="0.25">
      <c r="B8" s="24">
        <f>'[5]1086-12003'!C5</f>
        <v>1086</v>
      </c>
      <c r="C8" s="24">
        <f>'[5]1086-12003'!C7</f>
        <v>31001</v>
      </c>
      <c r="D8" s="24" t="str">
        <f>'[5]1086-12003'!C6</f>
        <v>Գյուղական ենթակառուցվածքների վերականգնում և զարգացում</v>
      </c>
      <c r="E8" s="24" t="str">
        <f>'[5]1086-12003'!C8</f>
        <v xml:space="preserve"> Զարգացման ֆրանսիական գործակալության աջակցությամբ իրականացվող ՀՀ Արարատի և Արմավիրի մարզերում Ոռոգվող գյուղատնտեսության զարգացման դրամաշնորհային ծրագիր</v>
      </c>
      <c r="F8" s="24">
        <f>'[5]1086-12003'!C37</f>
        <v>0</v>
      </c>
      <c r="G8" s="96">
        <f>'[5]1086-12003'!D37</f>
        <v>121493.9</v>
      </c>
      <c r="H8" s="96">
        <f>'[5]1086-12003'!E37</f>
        <v>0</v>
      </c>
      <c r="I8" s="96">
        <f>'[5]1086-12003'!F37</f>
        <v>0</v>
      </c>
      <c r="J8" s="96">
        <f>'[5]1086-12003'!G37</f>
        <v>0</v>
      </c>
      <c r="K8" s="96">
        <f>'[5]1086-12003'!H37</f>
        <v>28012.400000000001</v>
      </c>
      <c r="L8" s="96">
        <f>'[5]1086-12003'!I37</f>
        <v>0</v>
      </c>
      <c r="M8" s="96">
        <f>'[5]1086-12003'!J37</f>
        <v>0</v>
      </c>
      <c r="N8" s="96">
        <f>'[5]1086-12003'!K37</f>
        <v>28012.400000000001</v>
      </c>
      <c r="O8" s="96">
        <f>'[5]1086-12003'!L37</f>
        <v>0</v>
      </c>
      <c r="P8" s="96">
        <f>'[5]1086-12003'!M37</f>
        <v>0</v>
      </c>
      <c r="Q8" s="96">
        <f>'[5]1086-12003'!N37</f>
        <v>0</v>
      </c>
      <c r="R8" s="96">
        <f>'[5]1086-12003'!O37</f>
        <v>0</v>
      </c>
      <c r="S8" s="96">
        <f>'[5]1086-12003'!P37</f>
        <v>0</v>
      </c>
      <c r="T8" s="96">
        <f>'[5]1086-12003'!Q37</f>
        <v>28012.400000000001</v>
      </c>
      <c r="U8" s="96">
        <f>'[5]1086-12003'!R37</f>
        <v>0</v>
      </c>
      <c r="V8" s="96">
        <f>'[5]1086-12003'!S37</f>
        <v>0</v>
      </c>
      <c r="W8" s="96">
        <f>'[5]1086-12003'!F5</f>
        <v>2021</v>
      </c>
      <c r="X8" s="96">
        <f>'[5]1086-12003'!F6</f>
        <v>2024</v>
      </c>
      <c r="Y8" s="96" t="str">
        <f>'[5]1086-12003'!B13</f>
        <v>Հայեցողական (ոչ շարունակական)</v>
      </c>
    </row>
    <row r="9" spans="1:25" s="293" customFormat="1" ht="24" customHeight="1" x14ac:dyDescent="0.25">
      <c r="B9" s="385" t="s">
        <v>74</v>
      </c>
      <c r="C9" s="386"/>
      <c r="D9" s="386"/>
      <c r="E9" s="387"/>
      <c r="F9" s="328">
        <f t="shared" ref="F9:V9" si="0">SUM(F8:F8)</f>
        <v>0</v>
      </c>
      <c r="G9" s="328">
        <f t="shared" si="0"/>
        <v>121493.9</v>
      </c>
      <c r="H9" s="328">
        <f t="shared" si="0"/>
        <v>0</v>
      </c>
      <c r="I9" s="328">
        <f t="shared" si="0"/>
        <v>0</v>
      </c>
      <c r="J9" s="328">
        <f t="shared" si="0"/>
        <v>0</v>
      </c>
      <c r="K9" s="328">
        <f t="shared" si="0"/>
        <v>28012.400000000001</v>
      </c>
      <c r="L9" s="328">
        <f t="shared" si="0"/>
        <v>0</v>
      </c>
      <c r="M9" s="328">
        <f t="shared" si="0"/>
        <v>0</v>
      </c>
      <c r="N9" s="328">
        <f t="shared" si="0"/>
        <v>28012.400000000001</v>
      </c>
      <c r="O9" s="328">
        <f t="shared" si="0"/>
        <v>0</v>
      </c>
      <c r="P9" s="328">
        <f t="shared" si="0"/>
        <v>0</v>
      </c>
      <c r="Q9" s="328">
        <f t="shared" si="0"/>
        <v>0</v>
      </c>
      <c r="R9" s="328">
        <f t="shared" si="0"/>
        <v>0</v>
      </c>
      <c r="S9" s="328">
        <f t="shared" si="0"/>
        <v>0</v>
      </c>
      <c r="T9" s="329">
        <f t="shared" si="0"/>
        <v>28012.400000000001</v>
      </c>
      <c r="U9" s="329">
        <f t="shared" si="0"/>
        <v>0</v>
      </c>
      <c r="V9" s="329">
        <f t="shared" si="0"/>
        <v>0</v>
      </c>
      <c r="W9" s="328" t="s">
        <v>72</v>
      </c>
      <c r="X9" s="328" t="s">
        <v>72</v>
      </c>
      <c r="Y9" s="328" t="s">
        <v>72</v>
      </c>
    </row>
    <row r="12" spans="1:25" x14ac:dyDescent="0.25">
      <c r="A12" t="s">
        <v>766</v>
      </c>
      <c r="B12" s="330" t="s">
        <v>75</v>
      </c>
      <c r="C12" s="330"/>
      <c r="D12" s="330"/>
      <c r="E12" s="330"/>
    </row>
    <row r="13" spans="1:25" x14ac:dyDescent="0.25">
      <c r="A13" t="s">
        <v>767</v>
      </c>
      <c r="B13" t="s">
        <v>77</v>
      </c>
    </row>
  </sheetData>
  <mergeCells count="12">
    <mergeCell ref="K6:M6"/>
    <mergeCell ref="N6:P6"/>
    <mergeCell ref="B9:E9"/>
    <mergeCell ref="B6:C6"/>
    <mergeCell ref="D6:E6"/>
    <mergeCell ref="F6:G6"/>
    <mergeCell ref="H6:J6"/>
    <mergeCell ref="Q6:S6"/>
    <mergeCell ref="T6:V6"/>
    <mergeCell ref="W6:W7"/>
    <mergeCell ref="X6:X7"/>
    <mergeCell ref="Y6:Y7"/>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D6B-6CCD-4C44-9AC9-B935B81F3268}">
  <dimension ref="A1:Y13"/>
  <sheetViews>
    <sheetView workbookViewId="0">
      <selection activeCell="J14" sqref="J14"/>
    </sheetView>
  </sheetViews>
  <sheetFormatPr defaultRowHeight="15" x14ac:dyDescent="0.25"/>
  <cols>
    <col min="1" max="1" width="4.85546875" customWidth="1"/>
    <col min="2" max="2" width="9.85546875" customWidth="1"/>
    <col min="3" max="3" width="11.28515625" customWidth="1"/>
    <col min="4" max="4" width="10" customWidth="1"/>
    <col min="5" max="5" width="14" customWidth="1"/>
    <col min="6" max="6" width="19.42578125" customWidth="1"/>
    <col min="7" max="7" width="14" customWidth="1"/>
    <col min="8" max="8" width="12.28515625" customWidth="1"/>
    <col min="9" max="9" width="12.42578125" customWidth="1"/>
    <col min="10" max="10" width="10.28515625" customWidth="1"/>
    <col min="11" max="12" width="11" bestFit="1" customWidth="1"/>
    <col min="13" max="13" width="9.42578125" bestFit="1" customWidth="1"/>
    <col min="14" max="15" width="11" bestFit="1" customWidth="1"/>
    <col min="16" max="16" width="9.42578125" bestFit="1" customWidth="1"/>
    <col min="17" max="17" width="9.5703125" customWidth="1"/>
    <col min="18" max="18" width="12.140625" customWidth="1"/>
    <col min="19" max="19" width="9" bestFit="1" customWidth="1"/>
    <col min="20" max="21" width="9.7109375" bestFit="1" customWidth="1"/>
    <col min="22" max="22" width="16.28515625" customWidth="1"/>
    <col min="23" max="23" width="11.140625" customWidth="1"/>
    <col min="24" max="24" width="10.42578125" customWidth="1"/>
    <col min="25" max="25" width="25" customWidth="1"/>
  </cols>
  <sheetData>
    <row r="1" spans="1:25" ht="19.5" x14ac:dyDescent="0.25">
      <c r="A1" s="1" t="s">
        <v>764</v>
      </c>
      <c r="B1" s="1"/>
      <c r="C1" s="1"/>
      <c r="D1" s="1"/>
      <c r="E1" s="1"/>
      <c r="F1" s="1"/>
      <c r="G1" s="1"/>
      <c r="H1" s="1"/>
      <c r="I1" s="1"/>
      <c r="J1" s="1"/>
      <c r="K1" s="1"/>
      <c r="L1" s="1"/>
      <c r="M1" s="1"/>
      <c r="N1" s="1"/>
      <c r="O1" s="1"/>
      <c r="P1" s="1"/>
      <c r="Q1" s="1"/>
      <c r="R1" s="1"/>
      <c r="S1" s="1"/>
      <c r="T1" s="1"/>
      <c r="U1" s="1"/>
    </row>
    <row r="2" spans="1:25" ht="17.25" x14ac:dyDescent="0.25">
      <c r="A2" s="3"/>
      <c r="B2" s="3"/>
      <c r="C2" s="3"/>
      <c r="D2" s="3"/>
      <c r="E2" s="3"/>
      <c r="F2" s="3"/>
      <c r="G2" s="3"/>
      <c r="H2" s="3"/>
      <c r="I2" s="3"/>
      <c r="J2" s="3"/>
      <c r="K2" s="3"/>
      <c r="L2" s="3"/>
      <c r="M2" s="3"/>
      <c r="N2" s="3"/>
      <c r="O2" s="3"/>
      <c r="P2" s="3"/>
      <c r="Q2" s="3"/>
      <c r="R2" s="3"/>
      <c r="S2" s="3"/>
      <c r="T2" s="3"/>
      <c r="U2" s="3"/>
    </row>
    <row r="3" spans="1:25" ht="17.25" x14ac:dyDescent="0.25">
      <c r="A3" s="1" t="s">
        <v>765</v>
      </c>
      <c r="B3" s="3"/>
      <c r="C3" s="3"/>
      <c r="D3" s="3"/>
      <c r="E3" s="3"/>
      <c r="F3" s="3"/>
      <c r="G3" s="3"/>
      <c r="H3" s="3"/>
      <c r="I3" s="3"/>
      <c r="J3" s="3"/>
      <c r="K3" s="3"/>
      <c r="L3" s="3"/>
      <c r="M3" s="3"/>
      <c r="N3" s="3"/>
      <c r="O3" s="3"/>
      <c r="P3" s="3"/>
      <c r="Q3" s="3"/>
      <c r="R3" s="3"/>
      <c r="S3" s="3"/>
      <c r="T3" s="3"/>
      <c r="U3" s="3"/>
    </row>
    <row r="4" spans="1:25" ht="17.25" x14ac:dyDescent="0.25">
      <c r="A4" s="3"/>
      <c r="B4" s="3"/>
      <c r="C4" s="3"/>
      <c r="D4" s="3"/>
      <c r="E4" s="3"/>
      <c r="F4" s="3"/>
      <c r="G4" s="3"/>
      <c r="H4" s="3"/>
      <c r="I4" s="3"/>
      <c r="J4" s="3"/>
      <c r="K4" s="3"/>
      <c r="L4" s="3"/>
      <c r="M4" s="3"/>
      <c r="N4" s="3"/>
      <c r="O4" s="3"/>
      <c r="P4" s="3"/>
      <c r="Q4" s="3"/>
      <c r="R4" s="3"/>
      <c r="S4" s="3"/>
      <c r="T4" s="3"/>
      <c r="U4" s="3"/>
    </row>
    <row r="5" spans="1:25" ht="17.25" x14ac:dyDescent="0.25">
      <c r="A5" s="3"/>
      <c r="B5" s="3"/>
      <c r="C5" s="3"/>
      <c r="D5" s="3"/>
      <c r="E5" s="3"/>
      <c r="F5" s="3"/>
      <c r="G5" s="3"/>
      <c r="H5" s="3"/>
      <c r="I5" s="3"/>
      <c r="J5" s="3"/>
      <c r="K5" s="3"/>
      <c r="L5" s="3"/>
      <c r="M5" s="3"/>
      <c r="N5" s="3"/>
      <c r="O5" s="3"/>
      <c r="P5" s="3"/>
      <c r="Q5" s="3"/>
      <c r="R5" s="3"/>
      <c r="S5" s="3"/>
      <c r="T5" s="3"/>
      <c r="U5" s="3"/>
    </row>
    <row r="6" spans="1:25" ht="37.5" customHeight="1" x14ac:dyDescent="0.25">
      <c r="B6" s="388" t="s">
        <v>64</v>
      </c>
      <c r="C6" s="388"/>
      <c r="D6" s="383" t="s">
        <v>34</v>
      </c>
      <c r="E6" s="383"/>
      <c r="F6" s="383" t="s">
        <v>68</v>
      </c>
      <c r="G6" s="383"/>
      <c r="H6" s="383" t="s">
        <v>57</v>
      </c>
      <c r="I6" s="383"/>
      <c r="J6" s="383"/>
      <c r="K6" s="383" t="s">
        <v>58</v>
      </c>
      <c r="L6" s="383"/>
      <c r="M6" s="383"/>
      <c r="N6" s="358" t="s">
        <v>59</v>
      </c>
      <c r="O6" s="358"/>
      <c r="P6" s="358"/>
      <c r="Q6" s="383" t="s">
        <v>70</v>
      </c>
      <c r="R6" s="383"/>
      <c r="S6" s="383"/>
      <c r="T6" s="384" t="s">
        <v>65</v>
      </c>
      <c r="U6" s="384"/>
      <c r="V6" s="384"/>
      <c r="W6" s="383" t="s">
        <v>78</v>
      </c>
      <c r="X6" s="383" t="s">
        <v>76</v>
      </c>
      <c r="Y6" s="383" t="s">
        <v>66</v>
      </c>
    </row>
    <row r="7" spans="1:25" ht="25.5" x14ac:dyDescent="0.25">
      <c r="B7" s="327" t="s">
        <v>32</v>
      </c>
      <c r="C7" s="327" t="s">
        <v>33</v>
      </c>
      <c r="D7" s="325" t="s">
        <v>67</v>
      </c>
      <c r="E7" s="327" t="s">
        <v>33</v>
      </c>
      <c r="F7" s="325" t="s">
        <v>30</v>
      </c>
      <c r="G7" s="325" t="s">
        <v>69</v>
      </c>
      <c r="H7" s="325" t="s">
        <v>0</v>
      </c>
      <c r="I7" s="325" t="s">
        <v>1</v>
      </c>
      <c r="J7" s="325" t="s">
        <v>3</v>
      </c>
      <c r="K7" s="325" t="s">
        <v>0</v>
      </c>
      <c r="L7" s="325" t="s">
        <v>1</v>
      </c>
      <c r="M7" s="325" t="s">
        <v>3</v>
      </c>
      <c r="N7" s="19" t="s">
        <v>39</v>
      </c>
      <c r="O7" s="19" t="s">
        <v>38</v>
      </c>
      <c r="P7" s="19" t="s">
        <v>37</v>
      </c>
      <c r="Q7" s="325" t="s">
        <v>0</v>
      </c>
      <c r="R7" s="325" t="s">
        <v>1</v>
      </c>
      <c r="S7" s="325" t="s">
        <v>3</v>
      </c>
      <c r="T7" s="326" t="s">
        <v>0</v>
      </c>
      <c r="U7" s="326" t="s">
        <v>1</v>
      </c>
      <c r="V7" s="326" t="s">
        <v>3</v>
      </c>
      <c r="W7" s="383"/>
      <c r="X7" s="383"/>
      <c r="Y7" s="383"/>
    </row>
    <row r="8" spans="1:25" ht="165.75" x14ac:dyDescent="0.25">
      <c r="B8" s="24">
        <f>'[5]1086-12003'!C5</f>
        <v>1086</v>
      </c>
      <c r="C8" s="24">
        <f>'[5]1086-12003'!C7</f>
        <v>31001</v>
      </c>
      <c r="D8" s="24" t="str">
        <f>'[5]1086-12003'!C6</f>
        <v>Գյուղական ենթակառուցվածքների վերականգնում և զարգացում</v>
      </c>
      <c r="E8" s="24" t="str">
        <f>'[5]1086-12003'!C8</f>
        <v xml:space="preserve"> Զարգացման ֆրանսիական գործակալության աջակցությամբ իրականացվող ՀՀ Արարատի և Արմավիրի մարզերում Ոռոգվող գյուղատնտեսության զարգացման դրամաշնորհային ծրագիր</v>
      </c>
      <c r="F8" s="24">
        <f>'[5]1086-12003'!C37</f>
        <v>0</v>
      </c>
      <c r="G8" s="96">
        <f>'[5]1086-12003'!D37</f>
        <v>121493.9</v>
      </c>
      <c r="H8" s="96">
        <f>'[5]1086-12003'!E37</f>
        <v>0</v>
      </c>
      <c r="I8" s="96">
        <f>'[5]1086-12003'!F37</f>
        <v>0</v>
      </c>
      <c r="J8" s="96">
        <f>'[5]1086-12003'!G37</f>
        <v>0</v>
      </c>
      <c r="K8" s="96">
        <f>'[5]1086-12003'!H37</f>
        <v>28012.400000000001</v>
      </c>
      <c r="L8" s="96">
        <f>'[5]1086-12003'!I37</f>
        <v>0</v>
      </c>
      <c r="M8" s="96">
        <f>'[5]1086-12003'!J37</f>
        <v>0</v>
      </c>
      <c r="N8" s="96">
        <f>'[5]1086-12003'!K37</f>
        <v>28012.400000000001</v>
      </c>
      <c r="O8" s="96">
        <f>'[5]1086-12003'!L37</f>
        <v>0</v>
      </c>
      <c r="P8" s="96">
        <f>'[5]1086-12003'!M37</f>
        <v>0</v>
      </c>
      <c r="Q8" s="96">
        <f>'[5]1086-12003'!N37</f>
        <v>0</v>
      </c>
      <c r="R8" s="96">
        <f>'[5]1086-12003'!O37</f>
        <v>0</v>
      </c>
      <c r="S8" s="96">
        <f>'[5]1086-12003'!P37</f>
        <v>0</v>
      </c>
      <c r="T8" s="96">
        <f>'[5]1086-12003'!Q37</f>
        <v>28012.400000000001</v>
      </c>
      <c r="U8" s="96">
        <f>'[5]1086-12003'!R37</f>
        <v>0</v>
      </c>
      <c r="V8" s="96">
        <f>'[5]1086-12003'!S37</f>
        <v>0</v>
      </c>
      <c r="W8" s="96">
        <f>'[5]1086-12003'!F5</f>
        <v>2021</v>
      </c>
      <c r="X8" s="96">
        <f>'[5]1086-12003'!F6</f>
        <v>2024</v>
      </c>
      <c r="Y8" s="96" t="str">
        <f>'[5]1086-12003'!B13</f>
        <v>Հայեցողական (ոչ շարունակական)</v>
      </c>
    </row>
    <row r="9" spans="1:25" s="293" customFormat="1" ht="24" customHeight="1" x14ac:dyDescent="0.25">
      <c r="B9" s="385" t="s">
        <v>74</v>
      </c>
      <c r="C9" s="386"/>
      <c r="D9" s="386"/>
      <c r="E9" s="387"/>
      <c r="F9" s="328">
        <f t="shared" ref="F9:V9" si="0">SUM(F8:F8)</f>
        <v>0</v>
      </c>
      <c r="G9" s="328">
        <f t="shared" si="0"/>
        <v>121493.9</v>
      </c>
      <c r="H9" s="328">
        <f t="shared" si="0"/>
        <v>0</v>
      </c>
      <c r="I9" s="328">
        <f t="shared" si="0"/>
        <v>0</v>
      </c>
      <c r="J9" s="328">
        <f t="shared" si="0"/>
        <v>0</v>
      </c>
      <c r="K9" s="328">
        <f t="shared" si="0"/>
        <v>28012.400000000001</v>
      </c>
      <c r="L9" s="328">
        <f t="shared" si="0"/>
        <v>0</v>
      </c>
      <c r="M9" s="328">
        <f t="shared" si="0"/>
        <v>0</v>
      </c>
      <c r="N9" s="328">
        <f t="shared" si="0"/>
        <v>28012.400000000001</v>
      </c>
      <c r="O9" s="328">
        <f t="shared" si="0"/>
        <v>0</v>
      </c>
      <c r="P9" s="328">
        <f t="shared" si="0"/>
        <v>0</v>
      </c>
      <c r="Q9" s="328">
        <f t="shared" si="0"/>
        <v>0</v>
      </c>
      <c r="R9" s="328">
        <f t="shared" si="0"/>
        <v>0</v>
      </c>
      <c r="S9" s="328">
        <f t="shared" si="0"/>
        <v>0</v>
      </c>
      <c r="T9" s="329">
        <f t="shared" si="0"/>
        <v>28012.400000000001</v>
      </c>
      <c r="U9" s="329">
        <f t="shared" si="0"/>
        <v>0</v>
      </c>
      <c r="V9" s="329">
        <f t="shared" si="0"/>
        <v>0</v>
      </c>
      <c r="W9" s="328" t="s">
        <v>72</v>
      </c>
      <c r="X9" s="328" t="s">
        <v>72</v>
      </c>
      <c r="Y9" s="328" t="s">
        <v>72</v>
      </c>
    </row>
    <row r="12" spans="1:25" x14ac:dyDescent="0.25">
      <c r="A12" t="s">
        <v>766</v>
      </c>
      <c r="B12" s="330" t="s">
        <v>75</v>
      </c>
      <c r="C12" s="330"/>
      <c r="D12" s="330"/>
      <c r="E12" s="330"/>
    </row>
    <row r="13" spans="1:25" x14ac:dyDescent="0.25">
      <c r="A13" t="s">
        <v>767</v>
      </c>
      <c r="B13" t="s">
        <v>77</v>
      </c>
    </row>
  </sheetData>
  <mergeCells count="12">
    <mergeCell ref="K6:M6"/>
    <mergeCell ref="N6:P6"/>
    <mergeCell ref="B9:E9"/>
    <mergeCell ref="B6:C6"/>
    <mergeCell ref="D6:E6"/>
    <mergeCell ref="F6:G6"/>
    <mergeCell ref="H6:J6"/>
    <mergeCell ref="Q6:S6"/>
    <mergeCell ref="T6:V6"/>
    <mergeCell ref="W6:W7"/>
    <mergeCell ref="X6:X7"/>
    <mergeCell ref="Y6:Y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172FF-8050-44D7-8F1C-08E1A3D61CC9}">
  <dimension ref="A1:W62"/>
  <sheetViews>
    <sheetView topLeftCell="A52" workbookViewId="0">
      <selection activeCell="R60" sqref="R60"/>
    </sheetView>
  </sheetViews>
  <sheetFormatPr defaultRowHeight="15" x14ac:dyDescent="0.25"/>
  <cols>
    <col min="1" max="1" width="6" customWidth="1"/>
    <col min="2" max="2" width="31.28515625" customWidth="1"/>
    <col min="3" max="3" width="48" customWidth="1"/>
    <col min="4" max="4" width="20.140625" customWidth="1"/>
    <col min="5" max="5" width="40.28515625" customWidth="1"/>
    <col min="6" max="6" width="28.42578125" customWidth="1"/>
    <col min="7" max="7" width="22.28515625" customWidth="1"/>
    <col min="8" max="8" width="15.42578125" bestFit="1" customWidth="1"/>
    <col min="9" max="9" width="15.140625" bestFit="1" customWidth="1"/>
    <col min="10" max="10" width="16.42578125" customWidth="1"/>
    <col min="11" max="11" width="68" customWidth="1"/>
    <col min="12" max="13" width="11.7109375" bestFit="1" customWidth="1"/>
    <col min="14" max="14" width="9.5703125" customWidth="1"/>
    <col min="15" max="15" width="8.140625" customWidth="1"/>
    <col min="16" max="16" width="8" customWidth="1"/>
    <col min="17" max="17" width="11.7109375" bestFit="1" customWidth="1"/>
    <col min="19" max="19" width="9.7109375"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1104</v>
      </c>
      <c r="E5" s="25" t="s">
        <v>83</v>
      </c>
      <c r="F5" s="20" t="s">
        <v>408</v>
      </c>
      <c r="H5" s="3"/>
      <c r="I5" s="3"/>
      <c r="J5" s="3"/>
    </row>
    <row r="6" spans="1:23" ht="35.25" customHeight="1" x14ac:dyDescent="0.25">
      <c r="B6" s="25" t="s">
        <v>80</v>
      </c>
      <c r="C6" s="29" t="s">
        <v>409</v>
      </c>
      <c r="E6" s="25" t="s">
        <v>84</v>
      </c>
      <c r="F6" s="20" t="s">
        <v>410</v>
      </c>
      <c r="H6" s="3"/>
      <c r="I6" s="3"/>
      <c r="J6" s="3"/>
    </row>
    <row r="7" spans="1:23" ht="18" customHeight="1" x14ac:dyDescent="0.25">
      <c r="B7" s="25" t="s">
        <v>81</v>
      </c>
      <c r="C7" s="20">
        <v>11001</v>
      </c>
      <c r="H7" s="3"/>
      <c r="I7" s="3"/>
      <c r="J7" s="3"/>
    </row>
    <row r="8" spans="1:23" ht="27.75" customHeight="1" x14ac:dyDescent="0.25">
      <c r="B8" s="25" t="s">
        <v>82</v>
      </c>
      <c r="C8" s="29" t="s">
        <v>411</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96" x14ac:dyDescent="0.25">
      <c r="B12" s="10" t="s">
        <v>85</v>
      </c>
      <c r="C12" s="28" t="s">
        <v>86</v>
      </c>
      <c r="D12" s="28" t="s">
        <v>87</v>
      </c>
      <c r="E12" s="28" t="s">
        <v>88</v>
      </c>
      <c r="F12" s="3"/>
      <c r="G12" s="3"/>
      <c r="H12" s="3"/>
      <c r="I12" s="3"/>
      <c r="J12" s="3"/>
    </row>
    <row r="13" spans="1:23" ht="27.75" x14ac:dyDescent="0.3">
      <c r="B13" s="21" t="s">
        <v>43</v>
      </c>
      <c r="C13" s="133" t="s">
        <v>412</v>
      </c>
      <c r="D13" s="21"/>
      <c r="E13" s="21"/>
      <c r="F13" s="9"/>
      <c r="G13" s="3"/>
      <c r="H13" s="3"/>
      <c r="I13" s="3"/>
      <c r="J13" s="9"/>
    </row>
    <row r="14" spans="1:23" ht="17.25" x14ac:dyDescent="0.3">
      <c r="B14" s="11"/>
      <c r="C14" s="11"/>
      <c r="D14" s="11"/>
      <c r="E14" s="11"/>
      <c r="F14" s="3"/>
      <c r="G14" s="3"/>
      <c r="H14" s="3"/>
      <c r="I14" s="3"/>
      <c r="J14" s="9">
        <v>1000</v>
      </c>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15" customHeight="1" x14ac:dyDescent="0.25">
      <c r="B17" s="365" t="s">
        <v>89</v>
      </c>
      <c r="C17" s="365" t="s">
        <v>90</v>
      </c>
      <c r="D17" s="365" t="s">
        <v>91</v>
      </c>
      <c r="E17" s="365" t="s">
        <v>92</v>
      </c>
      <c r="F17" s="364" t="s">
        <v>93</v>
      </c>
      <c r="G17" s="364"/>
      <c r="H17" s="364"/>
      <c r="I17" s="364"/>
      <c r="J17" s="364"/>
      <c r="K17" s="364" t="s">
        <v>94</v>
      </c>
    </row>
    <row r="18" spans="1:11" x14ac:dyDescent="0.25">
      <c r="B18" s="365"/>
      <c r="C18" s="365"/>
      <c r="D18" s="365"/>
      <c r="E18" s="365"/>
      <c r="F18" s="27" t="s">
        <v>51</v>
      </c>
      <c r="G18" s="27" t="s">
        <v>52</v>
      </c>
      <c r="H18" s="27" t="s">
        <v>0</v>
      </c>
      <c r="I18" s="27" t="s">
        <v>1</v>
      </c>
      <c r="J18" s="27" t="s">
        <v>3</v>
      </c>
      <c r="K18" s="364"/>
    </row>
    <row r="19" spans="1:11" s="174" customFormat="1" ht="129.75" customHeight="1" x14ac:dyDescent="0.25">
      <c r="B19" s="30" t="s">
        <v>413</v>
      </c>
      <c r="C19" s="30" t="s">
        <v>117</v>
      </c>
      <c r="D19" s="30" t="s">
        <v>47</v>
      </c>
      <c r="E19" s="30"/>
      <c r="F19" s="30">
        <v>0</v>
      </c>
      <c r="G19" s="30">
        <v>0</v>
      </c>
      <c r="H19" s="175">
        <v>1</v>
      </c>
      <c r="I19" s="175">
        <v>1</v>
      </c>
      <c r="J19" s="175">
        <v>1</v>
      </c>
      <c r="K19" s="22" t="s">
        <v>414</v>
      </c>
    </row>
    <row r="20" spans="1:11" s="174" customFormat="1" ht="95.25" customHeight="1" x14ac:dyDescent="0.25">
      <c r="B20" s="22" t="s">
        <v>415</v>
      </c>
      <c r="C20" s="30" t="s">
        <v>318</v>
      </c>
      <c r="D20" s="30" t="s">
        <v>47</v>
      </c>
      <c r="E20" s="30"/>
      <c r="F20" s="30">
        <v>0</v>
      </c>
      <c r="G20" s="30">
        <v>0</v>
      </c>
      <c r="H20" s="175">
        <v>50</v>
      </c>
      <c r="I20" s="175">
        <v>55</v>
      </c>
      <c r="J20" s="175">
        <v>60</v>
      </c>
      <c r="K20" s="22" t="s">
        <v>416</v>
      </c>
    </row>
    <row r="21" spans="1:11" s="174" customFormat="1" ht="109.5" customHeight="1" x14ac:dyDescent="0.25">
      <c r="B21" s="22" t="s">
        <v>417</v>
      </c>
      <c r="C21" s="30" t="s">
        <v>318</v>
      </c>
      <c r="D21" s="30" t="s">
        <v>47</v>
      </c>
      <c r="E21" s="30"/>
      <c r="F21" s="30">
        <v>0</v>
      </c>
      <c r="G21" s="30">
        <v>0</v>
      </c>
      <c r="H21" s="175">
        <v>50</v>
      </c>
      <c r="I21" s="175">
        <v>55</v>
      </c>
      <c r="J21" s="175">
        <v>60</v>
      </c>
      <c r="K21" s="22" t="s">
        <v>418</v>
      </c>
    </row>
    <row r="22" spans="1:11" s="174" customFormat="1" ht="134.25" customHeight="1" x14ac:dyDescent="0.25">
      <c r="B22" s="22" t="s">
        <v>419</v>
      </c>
      <c r="C22" s="30" t="s">
        <v>318</v>
      </c>
      <c r="D22" s="30" t="s">
        <v>47</v>
      </c>
      <c r="E22" s="30"/>
      <c r="F22" s="30">
        <v>0</v>
      </c>
      <c r="G22" s="30">
        <v>0</v>
      </c>
      <c r="H22" s="175">
        <v>30</v>
      </c>
      <c r="I22" s="175">
        <v>35</v>
      </c>
      <c r="J22" s="175">
        <v>40</v>
      </c>
      <c r="K22" s="22" t="s">
        <v>420</v>
      </c>
    </row>
    <row r="23" spans="1:11" s="174" customFormat="1" ht="165.75" customHeight="1" x14ac:dyDescent="0.25">
      <c r="B23" s="22" t="s">
        <v>421</v>
      </c>
      <c r="C23" s="30" t="s">
        <v>318</v>
      </c>
      <c r="D23" s="30" t="s">
        <v>47</v>
      </c>
      <c r="E23" s="30"/>
      <c r="F23" s="30">
        <v>0</v>
      </c>
      <c r="G23" s="30">
        <v>0</v>
      </c>
      <c r="H23" s="175">
        <v>20</v>
      </c>
      <c r="I23" s="175">
        <v>25</v>
      </c>
      <c r="J23" s="175">
        <v>30</v>
      </c>
      <c r="K23" s="22" t="s">
        <v>422</v>
      </c>
    </row>
    <row r="24" spans="1:11" s="174" customFormat="1" ht="66.75" customHeight="1" x14ac:dyDescent="0.25">
      <c r="B24" s="22" t="s">
        <v>423</v>
      </c>
      <c r="C24" s="30" t="s">
        <v>318</v>
      </c>
      <c r="D24" s="30" t="s">
        <v>47</v>
      </c>
      <c r="E24" s="30"/>
      <c r="F24" s="30">
        <v>0</v>
      </c>
      <c r="G24" s="30">
        <v>0</v>
      </c>
      <c r="H24" s="175">
        <v>30</v>
      </c>
      <c r="I24" s="175">
        <v>35</v>
      </c>
      <c r="J24" s="175">
        <v>40</v>
      </c>
      <c r="K24" s="22" t="s">
        <v>424</v>
      </c>
    </row>
    <row r="25" spans="1:11" s="174" customFormat="1" ht="147" customHeight="1" x14ac:dyDescent="0.25">
      <c r="B25" s="22" t="s">
        <v>425</v>
      </c>
      <c r="C25" s="30" t="s">
        <v>318</v>
      </c>
      <c r="D25" s="30" t="s">
        <v>47</v>
      </c>
      <c r="E25" s="30"/>
      <c r="F25" s="30">
        <v>0</v>
      </c>
      <c r="G25" s="30">
        <v>0</v>
      </c>
      <c r="H25" s="175">
        <v>90</v>
      </c>
      <c r="I25" s="175">
        <v>95</v>
      </c>
      <c r="J25" s="175">
        <v>100</v>
      </c>
      <c r="K25" s="22" t="s">
        <v>426</v>
      </c>
    </row>
    <row r="26" spans="1:11" s="174" customFormat="1" ht="147" customHeight="1" x14ac:dyDescent="0.25">
      <c r="B26" s="22" t="s">
        <v>427</v>
      </c>
      <c r="C26" s="30" t="s">
        <v>318</v>
      </c>
      <c r="D26" s="30" t="s">
        <v>47</v>
      </c>
      <c r="E26" s="30"/>
      <c r="F26" s="30">
        <v>0</v>
      </c>
      <c r="G26" s="30">
        <v>0</v>
      </c>
      <c r="H26" s="175">
        <v>15</v>
      </c>
      <c r="I26" s="175">
        <v>20</v>
      </c>
      <c r="J26" s="175">
        <v>25</v>
      </c>
      <c r="K26" s="22" t="s">
        <v>428</v>
      </c>
    </row>
    <row r="27" spans="1:11" s="174" customFormat="1" ht="40.5" x14ac:dyDescent="0.25">
      <c r="B27" s="22" t="s">
        <v>429</v>
      </c>
      <c r="C27" s="30" t="s">
        <v>117</v>
      </c>
      <c r="D27" s="30" t="s">
        <v>47</v>
      </c>
      <c r="E27" s="30"/>
      <c r="F27" s="30">
        <v>0</v>
      </c>
      <c r="G27" s="30">
        <v>0</v>
      </c>
      <c r="H27" s="175">
        <v>1</v>
      </c>
      <c r="I27" s="175">
        <v>1</v>
      </c>
      <c r="J27" s="175">
        <v>1</v>
      </c>
      <c r="K27" s="22" t="s">
        <v>430</v>
      </c>
    </row>
    <row r="28" spans="1:11" ht="17.25" x14ac:dyDescent="0.25">
      <c r="B28" s="3"/>
      <c r="C28" s="3"/>
      <c r="D28" s="3"/>
      <c r="E28" s="3"/>
      <c r="F28" s="3"/>
      <c r="G28" s="3"/>
      <c r="H28" s="3"/>
      <c r="I28" s="3"/>
      <c r="J28" s="3"/>
    </row>
    <row r="29" spans="1:11" ht="15.75" x14ac:dyDescent="0.25">
      <c r="A29" s="12" t="s">
        <v>53</v>
      </c>
      <c r="C29" s="13"/>
      <c r="D29" s="13"/>
      <c r="E29" s="13"/>
      <c r="F29" s="13"/>
      <c r="G29" s="13"/>
      <c r="H29" s="13"/>
      <c r="I29" s="13"/>
      <c r="J29" s="13"/>
    </row>
    <row r="30" spans="1:11" x14ac:dyDescent="0.25">
      <c r="A30" s="14"/>
      <c r="C30" s="15"/>
      <c r="D30" s="15"/>
      <c r="E30" s="15"/>
      <c r="F30" s="15"/>
      <c r="G30" s="15"/>
      <c r="H30" s="15"/>
      <c r="I30" s="15"/>
      <c r="J30" s="15"/>
    </row>
    <row r="31" spans="1:11" x14ac:dyDescent="0.25">
      <c r="A31" s="16" t="s">
        <v>54</v>
      </c>
      <c r="C31" s="17"/>
      <c r="D31" s="17"/>
      <c r="E31" s="13"/>
      <c r="F31" s="13"/>
      <c r="G31" s="13"/>
      <c r="H31" s="13"/>
      <c r="I31" s="13"/>
      <c r="J31" s="13"/>
    </row>
    <row r="32" spans="1:11" x14ac:dyDescent="0.25">
      <c r="B32" s="17"/>
      <c r="C32" s="17"/>
      <c r="D32" s="17"/>
      <c r="E32" s="13"/>
      <c r="F32" s="13"/>
      <c r="G32" s="13"/>
      <c r="H32" s="13"/>
      <c r="I32" s="13"/>
      <c r="J32" s="13"/>
    </row>
    <row r="33" spans="1:19" x14ac:dyDescent="0.25">
      <c r="B33" s="17"/>
      <c r="C33" s="17"/>
      <c r="D33" s="17"/>
      <c r="E33" s="13"/>
      <c r="F33" s="13"/>
      <c r="G33" s="13"/>
      <c r="H33" s="13"/>
      <c r="I33" s="13"/>
      <c r="J33" s="13"/>
    </row>
    <row r="34" spans="1:19" x14ac:dyDescent="0.25">
      <c r="B34" s="17"/>
      <c r="C34" s="17"/>
      <c r="D34" s="17"/>
      <c r="E34" s="13"/>
      <c r="F34" s="13"/>
      <c r="G34" s="13"/>
      <c r="H34" s="13"/>
      <c r="I34" s="13"/>
      <c r="J34" s="13"/>
    </row>
    <row r="35" spans="1:19" x14ac:dyDescent="0.25">
      <c r="B35" s="17"/>
      <c r="C35" s="17"/>
      <c r="D35" s="17"/>
      <c r="E35" s="13"/>
      <c r="F35" s="13"/>
      <c r="G35" s="13"/>
      <c r="H35" s="13"/>
      <c r="I35" s="13"/>
      <c r="J35" s="13"/>
    </row>
    <row r="36" spans="1:19" x14ac:dyDescent="0.25">
      <c r="A36" s="16" t="s">
        <v>55</v>
      </c>
      <c r="E36" s="13"/>
      <c r="F36" s="13"/>
      <c r="G36" s="13"/>
      <c r="H36" s="13"/>
      <c r="I36" s="13"/>
      <c r="J36" s="13"/>
    </row>
    <row r="37" spans="1:19" x14ac:dyDescent="0.25">
      <c r="B37" s="360"/>
      <c r="C37" s="361"/>
      <c r="D37" s="361"/>
      <c r="E37" s="362"/>
      <c r="F37" s="13"/>
      <c r="G37" s="13"/>
      <c r="H37" s="13"/>
      <c r="I37" s="13"/>
      <c r="J37" s="13"/>
    </row>
    <row r="38" spans="1:19" ht="17.25" x14ac:dyDescent="0.25">
      <c r="B38" s="3"/>
      <c r="C38" s="3"/>
      <c r="D38" s="3"/>
      <c r="E38" s="13"/>
      <c r="F38" s="13"/>
      <c r="G38" s="13"/>
      <c r="H38" s="13"/>
      <c r="I38" s="13"/>
      <c r="J38" s="13">
        <v>1000</v>
      </c>
    </row>
    <row r="39" spans="1:19" x14ac:dyDescent="0.25">
      <c r="A39" s="7" t="s">
        <v>56</v>
      </c>
    </row>
    <row r="41" spans="1:19" ht="43.5" customHeight="1" x14ac:dyDescent="0.25">
      <c r="B41" s="363" t="s">
        <v>95</v>
      </c>
      <c r="C41" s="4" t="s">
        <v>96</v>
      </c>
      <c r="D41" s="4" t="s">
        <v>97</v>
      </c>
      <c r="E41" s="358" t="s">
        <v>98</v>
      </c>
      <c r="F41" s="358"/>
      <c r="G41" s="358"/>
      <c r="H41" s="358" t="s">
        <v>99</v>
      </c>
      <c r="I41" s="358"/>
      <c r="J41" s="358"/>
      <c r="K41" s="358" t="s">
        <v>100</v>
      </c>
      <c r="L41" s="358"/>
      <c r="M41" s="358"/>
      <c r="N41" s="358" t="s">
        <v>101</v>
      </c>
      <c r="O41" s="358"/>
      <c r="P41" s="358"/>
      <c r="Q41" s="359" t="s">
        <v>102</v>
      </c>
      <c r="R41" s="359"/>
      <c r="S41" s="359"/>
    </row>
    <row r="42" spans="1:19" ht="30" customHeight="1" x14ac:dyDescent="0.25">
      <c r="B42" s="363"/>
      <c r="C42" s="4" t="s">
        <v>35</v>
      </c>
      <c r="D42" s="4" t="s">
        <v>36</v>
      </c>
      <c r="E42" s="19" t="s">
        <v>0</v>
      </c>
      <c r="F42" s="19" t="s">
        <v>1</v>
      </c>
      <c r="G42" s="19" t="s">
        <v>3</v>
      </c>
      <c r="H42" s="19" t="s">
        <v>0</v>
      </c>
      <c r="I42" s="19" t="s">
        <v>1</v>
      </c>
      <c r="J42" s="19" t="s">
        <v>3</v>
      </c>
      <c r="K42" s="19" t="s">
        <v>39</v>
      </c>
      <c r="L42" s="19" t="s">
        <v>38</v>
      </c>
      <c r="M42" s="19" t="s">
        <v>37</v>
      </c>
      <c r="N42" s="19" t="s">
        <v>39</v>
      </c>
      <c r="O42" s="19" t="s">
        <v>38</v>
      </c>
      <c r="P42" s="19" t="s">
        <v>37</v>
      </c>
      <c r="Q42" s="26" t="s">
        <v>0</v>
      </c>
      <c r="R42" s="26" t="s">
        <v>1</v>
      </c>
      <c r="S42" s="26" t="s">
        <v>3</v>
      </c>
    </row>
    <row r="43" spans="1:19" ht="45" customHeight="1" x14ac:dyDescent="0.25">
      <c r="B43" s="22" t="s">
        <v>431</v>
      </c>
      <c r="C43" s="139">
        <v>45000</v>
      </c>
      <c r="D43" s="139">
        <f>+C43</f>
        <v>45000</v>
      </c>
      <c r="E43" s="22"/>
      <c r="F43" s="22"/>
      <c r="G43" s="22"/>
      <c r="H43" s="139">
        <v>-45000</v>
      </c>
      <c r="I43" s="139">
        <v>-45000</v>
      </c>
      <c r="J43" s="139">
        <v>-45000</v>
      </c>
      <c r="K43" s="176">
        <f>+H43</f>
        <v>-45000</v>
      </c>
      <c r="L43" s="176">
        <f>+I43</f>
        <v>-45000</v>
      </c>
      <c r="M43" s="176">
        <f>+J43</f>
        <v>-45000</v>
      </c>
      <c r="N43" s="22"/>
      <c r="O43" s="22"/>
      <c r="P43" s="22"/>
      <c r="Q43" s="177">
        <f>+K43+N43</f>
        <v>-45000</v>
      </c>
      <c r="R43" s="26">
        <f>+L43+O43</f>
        <v>-45000</v>
      </c>
      <c r="S43" s="177">
        <f>M43+P43</f>
        <v>-45000</v>
      </c>
    </row>
    <row r="44" spans="1:19" ht="36.75" customHeight="1" x14ac:dyDescent="0.25">
      <c r="B44" s="22" t="s">
        <v>432</v>
      </c>
      <c r="C44" s="139">
        <v>70000</v>
      </c>
      <c r="D44" s="139">
        <f t="shared" ref="D44:D48" si="0">+C44</f>
        <v>70000</v>
      </c>
      <c r="E44" s="22"/>
      <c r="F44" s="22"/>
      <c r="G44" s="22"/>
      <c r="H44" s="139">
        <v>-70000</v>
      </c>
      <c r="I44" s="139">
        <v>-70000</v>
      </c>
      <c r="J44" s="139">
        <v>-70000</v>
      </c>
      <c r="K44" s="176">
        <f>+H44</f>
        <v>-70000</v>
      </c>
      <c r="L44" s="176">
        <f t="shared" ref="L44:M48" si="1">+I44</f>
        <v>-70000</v>
      </c>
      <c r="M44" s="176">
        <f t="shared" si="1"/>
        <v>-70000</v>
      </c>
      <c r="N44" s="22"/>
      <c r="O44" s="22"/>
      <c r="P44" s="22"/>
      <c r="Q44" s="177">
        <f t="shared" ref="Q44:R48" si="2">+K44+N44</f>
        <v>-70000</v>
      </c>
      <c r="R44" s="26">
        <f t="shared" si="2"/>
        <v>-70000</v>
      </c>
      <c r="S44" s="177">
        <f t="shared" ref="S44:S48" si="3">M44+P44</f>
        <v>-70000</v>
      </c>
    </row>
    <row r="45" spans="1:19" ht="69.75" customHeight="1" x14ac:dyDescent="0.25">
      <c r="B45" s="22" t="s">
        <v>433</v>
      </c>
      <c r="C45" s="139">
        <v>6000</v>
      </c>
      <c r="D45" s="139">
        <f t="shared" si="0"/>
        <v>6000</v>
      </c>
      <c r="E45" s="22"/>
      <c r="F45" s="22"/>
      <c r="G45" s="22"/>
      <c r="H45" s="139">
        <v>-6000</v>
      </c>
      <c r="I45" s="139">
        <v>-6000</v>
      </c>
      <c r="J45" s="139">
        <v>-6000</v>
      </c>
      <c r="K45" s="176">
        <f>+H45</f>
        <v>-6000</v>
      </c>
      <c r="L45" s="176">
        <f t="shared" si="1"/>
        <v>-6000</v>
      </c>
      <c r="M45" s="176">
        <f t="shared" si="1"/>
        <v>-6000</v>
      </c>
      <c r="N45" s="22"/>
      <c r="O45" s="22"/>
      <c r="P45" s="22"/>
      <c r="Q45" s="177">
        <f t="shared" si="2"/>
        <v>-6000</v>
      </c>
      <c r="R45" s="26">
        <f t="shared" si="2"/>
        <v>-6000</v>
      </c>
      <c r="S45" s="177">
        <f t="shared" si="3"/>
        <v>-6000</v>
      </c>
    </row>
    <row r="46" spans="1:19" ht="90" customHeight="1" x14ac:dyDescent="0.25">
      <c r="B46" s="22" t="s">
        <v>434</v>
      </c>
      <c r="C46" s="139">
        <v>11092.2</v>
      </c>
      <c r="D46" s="139">
        <f t="shared" si="0"/>
        <v>11092.2</v>
      </c>
      <c r="E46" s="22"/>
      <c r="F46" s="22"/>
      <c r="G46" s="22"/>
      <c r="H46" s="139">
        <v>-11092.2</v>
      </c>
      <c r="I46" s="139">
        <v>11092.2</v>
      </c>
      <c r="J46" s="139">
        <v>11092.2</v>
      </c>
      <c r="K46" s="176">
        <f>+H46</f>
        <v>-11092.2</v>
      </c>
      <c r="L46" s="176">
        <f t="shared" si="1"/>
        <v>11092.2</v>
      </c>
      <c r="M46" s="176">
        <f t="shared" si="1"/>
        <v>11092.2</v>
      </c>
      <c r="N46" s="22"/>
      <c r="O46" s="22"/>
      <c r="P46" s="22"/>
      <c r="Q46" s="177">
        <f t="shared" si="2"/>
        <v>-11092.2</v>
      </c>
      <c r="R46" s="26">
        <f t="shared" si="2"/>
        <v>11092.2</v>
      </c>
      <c r="S46" s="177">
        <f t="shared" si="3"/>
        <v>11092.2</v>
      </c>
    </row>
    <row r="47" spans="1:19" ht="52.5" customHeight="1" x14ac:dyDescent="0.25">
      <c r="B47" s="22" t="s">
        <v>435</v>
      </c>
      <c r="C47" s="139">
        <v>6000</v>
      </c>
      <c r="D47" s="139">
        <f t="shared" si="0"/>
        <v>6000</v>
      </c>
      <c r="E47" s="22"/>
      <c r="F47" s="22"/>
      <c r="G47" s="22"/>
      <c r="H47" s="139">
        <v>-6000</v>
      </c>
      <c r="I47" s="139">
        <v>-6000</v>
      </c>
      <c r="J47" s="139">
        <v>-6000</v>
      </c>
      <c r="K47" s="176">
        <f>+H47</f>
        <v>-6000</v>
      </c>
      <c r="L47" s="176">
        <f t="shared" si="1"/>
        <v>-6000</v>
      </c>
      <c r="M47" s="176">
        <f t="shared" si="1"/>
        <v>-6000</v>
      </c>
      <c r="N47" s="22"/>
      <c r="O47" s="22"/>
      <c r="P47" s="22"/>
      <c r="Q47" s="177">
        <f t="shared" si="2"/>
        <v>-6000</v>
      </c>
      <c r="R47" s="26">
        <f t="shared" si="2"/>
        <v>-6000</v>
      </c>
      <c r="S47" s="177">
        <f t="shared" si="3"/>
        <v>-6000</v>
      </c>
    </row>
    <row r="48" spans="1:19" ht="54.75" customHeight="1" x14ac:dyDescent="0.25">
      <c r="B48" s="22" t="s">
        <v>436</v>
      </c>
      <c r="C48" s="139">
        <v>22000.3</v>
      </c>
      <c r="D48" s="139">
        <f t="shared" si="0"/>
        <v>22000.3</v>
      </c>
      <c r="E48" s="22"/>
      <c r="F48" s="22"/>
      <c r="G48" s="22"/>
      <c r="H48" s="139">
        <v>-22000.3</v>
      </c>
      <c r="I48" s="139">
        <v>-22000.3</v>
      </c>
      <c r="J48" s="139">
        <v>-22000.3</v>
      </c>
      <c r="K48" s="176">
        <f>+H48</f>
        <v>-22000.3</v>
      </c>
      <c r="L48" s="176">
        <f t="shared" si="1"/>
        <v>-22000.3</v>
      </c>
      <c r="M48" s="176">
        <f t="shared" si="1"/>
        <v>-22000.3</v>
      </c>
      <c r="N48" s="22"/>
      <c r="O48" s="22"/>
      <c r="P48" s="22"/>
      <c r="Q48" s="177">
        <f t="shared" si="2"/>
        <v>-22000.3</v>
      </c>
      <c r="R48" s="26">
        <f t="shared" si="2"/>
        <v>-22000.3</v>
      </c>
      <c r="S48" s="177">
        <f t="shared" si="3"/>
        <v>-22000.3</v>
      </c>
    </row>
    <row r="49" spans="2:19" x14ac:dyDescent="0.25">
      <c r="B49" s="22" t="s">
        <v>413</v>
      </c>
      <c r="C49" s="22">
        <v>0</v>
      </c>
      <c r="D49" s="22">
        <v>0</v>
      </c>
      <c r="E49" s="23"/>
      <c r="F49" s="23"/>
      <c r="G49" s="23"/>
      <c r="H49" s="175">
        <f>27000</f>
        <v>27000</v>
      </c>
      <c r="I49" s="175">
        <f>27000</f>
        <v>27000</v>
      </c>
      <c r="J49" s="175">
        <v>27500</v>
      </c>
      <c r="K49" s="176">
        <f>C49+E49+H49</f>
        <v>27000</v>
      </c>
      <c r="L49" s="176">
        <f>C49+F49+I49</f>
        <v>27000</v>
      </c>
      <c r="M49" s="176">
        <f>C49+G49+J49</f>
        <v>27500</v>
      </c>
      <c r="N49" s="23"/>
      <c r="O49" s="23"/>
      <c r="P49" s="23"/>
      <c r="Q49" s="177">
        <f>K49+N49</f>
        <v>27000</v>
      </c>
      <c r="R49" s="177">
        <f>L49+O49</f>
        <v>27000</v>
      </c>
      <c r="S49" s="177">
        <f>M49+P49</f>
        <v>27500</v>
      </c>
    </row>
    <row r="50" spans="2:19" ht="54" x14ac:dyDescent="0.25">
      <c r="B50" s="22" t="s">
        <v>437</v>
      </c>
      <c r="C50" s="22">
        <v>0</v>
      </c>
      <c r="D50" s="22">
        <v>0</v>
      </c>
      <c r="E50" s="23"/>
      <c r="F50" s="23"/>
      <c r="G50" s="23"/>
      <c r="H50" s="175">
        <v>750000</v>
      </c>
      <c r="I50" s="175">
        <v>800000</v>
      </c>
      <c r="J50" s="175">
        <v>850000</v>
      </c>
      <c r="K50" s="176">
        <f t="shared" ref="K50:M57" si="4">C50+E50+H50</f>
        <v>750000</v>
      </c>
      <c r="L50" s="19">
        <f t="shared" si="4"/>
        <v>800000</v>
      </c>
      <c r="M50" s="19">
        <f t="shared" si="4"/>
        <v>850000</v>
      </c>
      <c r="N50" s="23"/>
      <c r="O50" s="23"/>
      <c r="P50" s="23"/>
      <c r="Q50" s="26">
        <f t="shared" ref="Q50:S57" si="5">K50+N50</f>
        <v>750000</v>
      </c>
      <c r="R50" s="26">
        <f t="shared" si="5"/>
        <v>800000</v>
      </c>
      <c r="S50" s="26">
        <f t="shared" si="5"/>
        <v>850000</v>
      </c>
    </row>
    <row r="51" spans="2:19" ht="27" x14ac:dyDescent="0.25">
      <c r="B51" s="22" t="s">
        <v>417</v>
      </c>
      <c r="C51" s="22">
        <v>0</v>
      </c>
      <c r="D51" s="22">
        <v>0</v>
      </c>
      <c r="E51" s="23"/>
      <c r="F51" s="23"/>
      <c r="G51" s="23"/>
      <c r="H51" s="175">
        <v>500000</v>
      </c>
      <c r="I51" s="175">
        <v>550000</v>
      </c>
      <c r="J51" s="175">
        <v>600000</v>
      </c>
      <c r="K51" s="176">
        <f>C51+E51+H51</f>
        <v>500000</v>
      </c>
      <c r="L51" s="19">
        <f t="shared" si="4"/>
        <v>550000</v>
      </c>
      <c r="M51" s="19">
        <f t="shared" si="4"/>
        <v>600000</v>
      </c>
      <c r="N51" s="23"/>
      <c r="O51" s="23"/>
      <c r="P51" s="23"/>
      <c r="Q51" s="26">
        <f t="shared" si="5"/>
        <v>500000</v>
      </c>
      <c r="R51" s="26">
        <f t="shared" si="5"/>
        <v>550000</v>
      </c>
      <c r="S51" s="26">
        <f>M51+P51</f>
        <v>600000</v>
      </c>
    </row>
    <row r="52" spans="2:19" ht="54" x14ac:dyDescent="0.25">
      <c r="B52" s="22" t="s">
        <v>438</v>
      </c>
      <c r="C52" s="22">
        <v>0</v>
      </c>
      <c r="D52" s="22">
        <v>0</v>
      </c>
      <c r="E52" s="23"/>
      <c r="F52" s="23"/>
      <c r="G52" s="23"/>
      <c r="H52" s="175">
        <v>750000</v>
      </c>
      <c r="I52" s="175">
        <v>800000</v>
      </c>
      <c r="J52" s="175">
        <v>850000</v>
      </c>
      <c r="K52" s="176">
        <f>C52+E52+H52</f>
        <v>750000</v>
      </c>
      <c r="L52" s="19">
        <f t="shared" si="4"/>
        <v>800000</v>
      </c>
      <c r="M52" s="19">
        <f t="shared" si="4"/>
        <v>850000</v>
      </c>
      <c r="N52" s="23"/>
      <c r="O52" s="23"/>
      <c r="P52" s="23"/>
      <c r="Q52" s="26">
        <f t="shared" si="5"/>
        <v>750000</v>
      </c>
      <c r="R52" s="26">
        <f t="shared" si="5"/>
        <v>800000</v>
      </c>
      <c r="S52" s="26">
        <f t="shared" si="5"/>
        <v>850000</v>
      </c>
    </row>
    <row r="53" spans="2:19" ht="54" x14ac:dyDescent="0.25">
      <c r="B53" s="22" t="s">
        <v>439</v>
      </c>
      <c r="C53" s="22">
        <v>0</v>
      </c>
      <c r="D53" s="22">
        <v>0</v>
      </c>
      <c r="E53" s="23"/>
      <c r="F53" s="23"/>
      <c r="G53" s="23"/>
      <c r="H53" s="175">
        <v>500000</v>
      </c>
      <c r="I53" s="175">
        <v>550000</v>
      </c>
      <c r="J53" s="175">
        <v>600000</v>
      </c>
      <c r="K53" s="176">
        <f t="shared" ref="K53:K55" si="6">C53+E53+H53</f>
        <v>500000</v>
      </c>
      <c r="L53" s="19">
        <f t="shared" si="4"/>
        <v>550000</v>
      </c>
      <c r="M53" s="19">
        <f t="shared" si="4"/>
        <v>600000</v>
      </c>
      <c r="N53" s="23"/>
      <c r="O53" s="23"/>
      <c r="P53" s="23"/>
      <c r="Q53" s="26">
        <f t="shared" si="5"/>
        <v>500000</v>
      </c>
      <c r="R53" s="26">
        <f t="shared" si="5"/>
        <v>550000</v>
      </c>
      <c r="S53" s="26">
        <f t="shared" si="5"/>
        <v>600000</v>
      </c>
    </row>
    <row r="54" spans="2:19" ht="54" x14ac:dyDescent="0.25">
      <c r="B54" s="22" t="s">
        <v>423</v>
      </c>
      <c r="C54" s="22">
        <v>0</v>
      </c>
      <c r="D54" s="22">
        <v>0</v>
      </c>
      <c r="E54" s="23"/>
      <c r="F54" s="23"/>
      <c r="G54" s="23"/>
      <c r="H54" s="175">
        <v>750000</v>
      </c>
      <c r="I54" s="175">
        <v>800000</v>
      </c>
      <c r="J54" s="175">
        <v>850000</v>
      </c>
      <c r="K54" s="176">
        <f>C54+E54+H54</f>
        <v>750000</v>
      </c>
      <c r="L54" s="19">
        <f t="shared" si="4"/>
        <v>800000</v>
      </c>
      <c r="M54" s="19">
        <f t="shared" si="4"/>
        <v>850000</v>
      </c>
      <c r="N54" s="23"/>
      <c r="O54" s="23"/>
      <c r="P54" s="23"/>
      <c r="Q54" s="26">
        <f t="shared" si="5"/>
        <v>750000</v>
      </c>
      <c r="R54" s="26">
        <f t="shared" si="5"/>
        <v>800000</v>
      </c>
      <c r="S54" s="26">
        <f t="shared" si="5"/>
        <v>850000</v>
      </c>
    </row>
    <row r="55" spans="2:19" ht="40.5" x14ac:dyDescent="0.25">
      <c r="B55" s="22" t="s">
        <v>440</v>
      </c>
      <c r="C55" s="22">
        <v>0</v>
      </c>
      <c r="D55" s="22">
        <v>0</v>
      </c>
      <c r="E55" s="23"/>
      <c r="F55" s="23"/>
      <c r="G55" s="23"/>
      <c r="H55" s="175">
        <v>900000</v>
      </c>
      <c r="I55" s="175">
        <v>1000000</v>
      </c>
      <c r="J55" s="175">
        <v>1500000</v>
      </c>
      <c r="K55" s="176">
        <f t="shared" si="6"/>
        <v>900000</v>
      </c>
      <c r="L55" s="19">
        <f t="shared" si="4"/>
        <v>1000000</v>
      </c>
      <c r="M55" s="19">
        <f t="shared" si="4"/>
        <v>1500000</v>
      </c>
      <c r="N55" s="23"/>
      <c r="O55" s="23"/>
      <c r="P55" s="23"/>
      <c r="Q55" s="26">
        <f t="shared" si="5"/>
        <v>900000</v>
      </c>
      <c r="R55" s="26">
        <f t="shared" si="5"/>
        <v>1000000</v>
      </c>
      <c r="S55" s="26">
        <f t="shared" si="5"/>
        <v>1500000</v>
      </c>
    </row>
    <row r="56" spans="2:19" ht="40.5" x14ac:dyDescent="0.25">
      <c r="B56" s="22" t="s">
        <v>441</v>
      </c>
      <c r="C56" s="22">
        <v>0</v>
      </c>
      <c r="D56" s="22">
        <v>0</v>
      </c>
      <c r="E56" s="23"/>
      <c r="F56" s="23"/>
      <c r="G56" s="23"/>
      <c r="H56" s="175">
        <v>300000</v>
      </c>
      <c r="I56" s="175">
        <v>350000</v>
      </c>
      <c r="J56" s="175">
        <v>400000</v>
      </c>
      <c r="K56" s="176">
        <f t="shared" si="4"/>
        <v>300000</v>
      </c>
      <c r="L56" s="19">
        <f t="shared" si="4"/>
        <v>350000</v>
      </c>
      <c r="M56" s="19">
        <f t="shared" si="4"/>
        <v>400000</v>
      </c>
      <c r="N56" s="23"/>
      <c r="O56" s="23"/>
      <c r="P56" s="23"/>
      <c r="Q56" s="26">
        <f t="shared" si="5"/>
        <v>300000</v>
      </c>
      <c r="R56" s="26">
        <f t="shared" si="5"/>
        <v>350000</v>
      </c>
      <c r="S56" s="26">
        <f t="shared" si="5"/>
        <v>400000</v>
      </c>
    </row>
    <row r="57" spans="2:19" ht="40.5" x14ac:dyDescent="0.25">
      <c r="B57" s="22" t="s">
        <v>429</v>
      </c>
      <c r="C57" s="22">
        <v>0</v>
      </c>
      <c r="D57" s="22">
        <v>0</v>
      </c>
      <c r="E57" s="23"/>
      <c r="F57" s="23"/>
      <c r="G57" s="23"/>
      <c r="H57" s="175">
        <v>10000</v>
      </c>
      <c r="I57" s="175">
        <v>15000</v>
      </c>
      <c r="J57" s="175">
        <v>17000</v>
      </c>
      <c r="K57" s="176">
        <f t="shared" si="4"/>
        <v>10000</v>
      </c>
      <c r="L57" s="19">
        <f t="shared" si="4"/>
        <v>15000</v>
      </c>
      <c r="M57" s="19">
        <f t="shared" si="4"/>
        <v>17000</v>
      </c>
      <c r="N57" s="23"/>
      <c r="O57" s="23"/>
      <c r="P57" s="23"/>
      <c r="Q57" s="26">
        <f t="shared" si="5"/>
        <v>10000</v>
      </c>
      <c r="R57" s="26">
        <f t="shared" si="5"/>
        <v>15000</v>
      </c>
      <c r="S57" s="26">
        <f t="shared" si="5"/>
        <v>17000</v>
      </c>
    </row>
    <row r="58" spans="2:19" ht="28.5" x14ac:dyDescent="0.25">
      <c r="B58" s="18" t="s">
        <v>73</v>
      </c>
      <c r="C58" s="139">
        <f>SUM(C43:C57)</f>
        <v>160092.5</v>
      </c>
      <c r="D58" s="139">
        <f>SUM(D43:D57)</f>
        <v>160092.5</v>
      </c>
      <c r="E58" s="19">
        <f>SUM(E49:E56)</f>
        <v>0</v>
      </c>
      <c r="F58" s="19">
        <f t="shared" ref="F58:G58" si="7">SUM(F49:F56)</f>
        <v>0</v>
      </c>
      <c r="G58" s="19">
        <f t="shared" si="7"/>
        <v>0</v>
      </c>
      <c r="H58" s="176">
        <f>SUM(H43:H57)</f>
        <v>4326907.5</v>
      </c>
      <c r="I58" s="176">
        <f>SUM(I43:I57)</f>
        <v>4754091.9000000004</v>
      </c>
      <c r="J58" s="176">
        <f>SUM(J43:J57)</f>
        <v>5556591.9000000004</v>
      </c>
      <c r="K58" s="176">
        <f>C58+E58+H58</f>
        <v>4487000</v>
      </c>
      <c r="L58" s="176">
        <f>C58+F58+I58</f>
        <v>4914184.4000000004</v>
      </c>
      <c r="M58" s="176">
        <f>C58+G58+J58</f>
        <v>5716684.4000000004</v>
      </c>
      <c r="N58" s="4" t="s">
        <v>2</v>
      </c>
      <c r="O58" s="4" t="s">
        <v>2</v>
      </c>
      <c r="P58" s="4" t="s">
        <v>2</v>
      </c>
      <c r="Q58" s="26" t="s">
        <v>2</v>
      </c>
      <c r="R58" s="26" t="s">
        <v>2</v>
      </c>
      <c r="S58" s="26" t="s">
        <v>2</v>
      </c>
    </row>
    <row r="59" spans="2:19" ht="28.5" x14ac:dyDescent="0.25">
      <c r="B59" s="18" t="s">
        <v>60</v>
      </c>
      <c r="C59" s="22"/>
      <c r="D59" s="22"/>
      <c r="E59" s="19" t="s">
        <v>72</v>
      </c>
      <c r="F59" s="19" t="s">
        <v>72</v>
      </c>
      <c r="G59" s="19" t="s">
        <v>72</v>
      </c>
      <c r="H59" s="19" t="s">
        <v>72</v>
      </c>
      <c r="I59" s="19" t="s">
        <v>72</v>
      </c>
      <c r="J59" s="19" t="s">
        <v>72</v>
      </c>
      <c r="K59" s="19">
        <f>C59</f>
        <v>0</v>
      </c>
      <c r="L59" s="19">
        <f>C59</f>
        <v>0</v>
      </c>
      <c r="M59" s="19">
        <f>C59</f>
        <v>0</v>
      </c>
      <c r="N59" s="4" t="s">
        <v>2</v>
      </c>
      <c r="O59" s="4" t="s">
        <v>2</v>
      </c>
      <c r="P59" s="4" t="s">
        <v>2</v>
      </c>
      <c r="Q59" s="26" t="s">
        <v>2</v>
      </c>
      <c r="R59" s="26" t="s">
        <v>2</v>
      </c>
      <c r="S59" s="26" t="s">
        <v>2</v>
      </c>
    </row>
    <row r="60" spans="2:19" ht="20.45" customHeight="1" x14ac:dyDescent="0.25">
      <c r="B60" s="18" t="s">
        <v>61</v>
      </c>
      <c r="C60" s="294">
        <f>SUM(C43:C57)</f>
        <v>160092.5</v>
      </c>
      <c r="D60" s="294">
        <f t="shared" ref="D60:I60" si="8">SUM(D43:D57)</f>
        <v>160092.5</v>
      </c>
      <c r="E60" s="294">
        <f t="shared" si="8"/>
        <v>0</v>
      </c>
      <c r="F60" s="176">
        <f t="shared" si="8"/>
        <v>0</v>
      </c>
      <c r="G60" s="176">
        <f t="shared" si="8"/>
        <v>0</v>
      </c>
      <c r="H60" s="294">
        <f t="shared" si="8"/>
        <v>4326907.5</v>
      </c>
      <c r="I60" s="294">
        <f t="shared" si="8"/>
        <v>4754091.9000000004</v>
      </c>
      <c r="J60" s="176">
        <f t="shared" ref="J60" si="9">J58</f>
        <v>5556591.9000000004</v>
      </c>
      <c r="K60" s="176">
        <f>K58+K59</f>
        <v>4487000</v>
      </c>
      <c r="L60" s="178">
        <f>L58+L59</f>
        <v>4914184.4000000004</v>
      </c>
      <c r="M60" s="4">
        <f t="shared" ref="M60" si="10">M58+M59</f>
        <v>5716684.4000000004</v>
      </c>
      <c r="N60" s="4">
        <f>SUM(N49:N56)</f>
        <v>0</v>
      </c>
      <c r="O60" s="4">
        <f t="shared" ref="O60:P60" si="11">SUM(O49:O56)</f>
        <v>0</v>
      </c>
      <c r="P60" s="4">
        <f t="shared" si="11"/>
        <v>0</v>
      </c>
      <c r="Q60" s="177">
        <f>K60+N60</f>
        <v>4487000</v>
      </c>
      <c r="R60" s="26">
        <f>L60+O60</f>
        <v>4914184.4000000004</v>
      </c>
      <c r="S60" s="26">
        <f>M60+P60</f>
        <v>5716684.4000000004</v>
      </c>
    </row>
    <row r="62" spans="2:19" x14ac:dyDescent="0.25">
      <c r="H62" s="301">
        <v>4487000</v>
      </c>
    </row>
  </sheetData>
  <mergeCells count="13">
    <mergeCell ref="K17:K18"/>
    <mergeCell ref="B17:B18"/>
    <mergeCell ref="C17:C18"/>
    <mergeCell ref="D17:D18"/>
    <mergeCell ref="E17:E18"/>
    <mergeCell ref="F17:J17"/>
    <mergeCell ref="Q41:S41"/>
    <mergeCell ref="B37:E37"/>
    <mergeCell ref="B41:B42"/>
    <mergeCell ref="E41:G41"/>
    <mergeCell ref="H41:J41"/>
    <mergeCell ref="K41:M41"/>
    <mergeCell ref="N41:P41"/>
  </mergeCells>
  <dataValidations count="4">
    <dataValidation type="custom" allowBlank="1" showInputMessage="1" showErrorMessage="1" sqref="N49:P57" xr:uid="{9B1D6928-7CEB-44DF-83D5-066D526EAD25}">
      <formula1>"-"</formula1>
    </dataValidation>
    <dataValidation type="list" allowBlank="1" showInputMessage="1" showErrorMessage="1" sqref="B13" xr:uid="{D23E631D-49C0-4BF5-8A00-C4F8909D4750}">
      <formula1>$U$2:$U$4</formula1>
    </dataValidation>
    <dataValidation type="list" allowBlank="1" showInputMessage="1" showErrorMessage="1" sqref="D19:D27" xr:uid="{8DF4B54D-C5FB-43D0-95EF-1C5473D70E80}">
      <formula1>$V$2:$V$3</formula1>
    </dataValidation>
    <dataValidation showInputMessage="1" showErrorMessage="1" sqref="E19:E27" xr:uid="{66E17B46-43D8-4DB9-B3B2-0AB491410285}"/>
  </dataValidations>
  <hyperlinks>
    <hyperlink ref="C12" location="_ftn1" display="_ftn1" xr:uid="{7D644DDE-87F6-4FB0-A13A-A02FFFA1993C}"/>
    <hyperlink ref="D12" location="_ftn2" display="_ftn2" xr:uid="{CE662B21-4765-4E69-BB83-9424BA5EC410}"/>
    <hyperlink ref="E12" location="_ftn3" display="_ftn3" xr:uid="{87B6DD11-A173-4FD9-B121-C9EDEEE8D2DE}"/>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4577" r:id="rId3" name="Check Box 1">
              <controlPr defaultSize="0" autoFill="0" autoLine="0" autoPict="0">
                <anchor moveWithCells="1">
                  <from>
                    <xdr:col>1</xdr:col>
                    <xdr:colOff>85725</xdr:colOff>
                    <xdr:row>33</xdr:row>
                    <xdr:rowOff>0</xdr:rowOff>
                  </from>
                  <to>
                    <xdr:col>2</xdr:col>
                    <xdr:colOff>1295400</xdr:colOff>
                    <xdr:row>34</xdr:row>
                    <xdr:rowOff>38100</xdr:rowOff>
                  </to>
                </anchor>
              </controlPr>
            </control>
          </mc:Choice>
        </mc:AlternateContent>
        <mc:AlternateContent xmlns:mc="http://schemas.openxmlformats.org/markup-compatibility/2006">
          <mc:Choice Requires="x14">
            <control shapeId="24578" r:id="rId4" name="Check Box 2">
              <controlPr defaultSize="0" autoFill="0" autoLine="0" autoPict="0">
                <anchor moveWithCells="1">
                  <from>
                    <xdr:col>1</xdr:col>
                    <xdr:colOff>85725</xdr:colOff>
                    <xdr:row>30</xdr:row>
                    <xdr:rowOff>171450</xdr:rowOff>
                  </from>
                  <to>
                    <xdr:col>2</xdr:col>
                    <xdr:colOff>2047875</xdr:colOff>
                    <xdr:row>32</xdr:row>
                    <xdr:rowOff>47625</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1</xdr:col>
                    <xdr:colOff>85725</xdr:colOff>
                    <xdr:row>32</xdr:row>
                    <xdr:rowOff>28575</xdr:rowOff>
                  </from>
                  <to>
                    <xdr:col>2</xdr:col>
                    <xdr:colOff>2047875</xdr:colOff>
                    <xdr:row>33</xdr:row>
                    <xdr:rowOff>9525</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1</xdr:col>
                    <xdr:colOff>95250</xdr:colOff>
                    <xdr:row>34</xdr:row>
                    <xdr:rowOff>9525</xdr:rowOff>
                  </from>
                  <to>
                    <xdr:col>2</xdr:col>
                    <xdr:colOff>695325</xdr:colOff>
                    <xdr:row>35</xdr:row>
                    <xdr:rowOff>9525</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8F9B6-B25E-4AA0-A5BC-2A8C26E88CA1}">
  <dimension ref="A1:W49"/>
  <sheetViews>
    <sheetView topLeftCell="A22" workbookViewId="0">
      <selection activeCell="C49" sqref="C49"/>
    </sheetView>
  </sheetViews>
  <sheetFormatPr defaultRowHeight="15" x14ac:dyDescent="0.25"/>
  <cols>
    <col min="1" max="1" width="6" customWidth="1"/>
    <col min="2" max="2" width="33.140625" customWidth="1"/>
    <col min="3" max="3" width="54.7109375" customWidth="1"/>
    <col min="4" max="4" width="31.5703125" customWidth="1"/>
    <col min="5" max="5" width="40" customWidth="1"/>
    <col min="6" max="6" width="24.5703125" customWidth="1"/>
    <col min="7" max="7" width="22.5703125" customWidth="1"/>
    <col min="8" max="8" width="15.140625" bestFit="1" customWidth="1"/>
    <col min="9" max="9" width="15.42578125" bestFit="1" customWidth="1"/>
    <col min="10" max="10" width="15.28515625" customWidth="1"/>
    <col min="11" max="11" width="18.42578125" bestFit="1" customWidth="1"/>
    <col min="12" max="12" width="12.42578125" bestFit="1" customWidth="1"/>
    <col min="13" max="13" width="12.5703125" bestFit="1" customWidth="1"/>
    <col min="14" max="14" width="9.5703125" customWidth="1"/>
    <col min="15" max="15" width="8.140625" customWidth="1"/>
    <col min="16" max="16" width="8" customWidth="1"/>
    <col min="17" max="17" width="12.28515625" bestFit="1" customWidth="1"/>
    <col min="18" max="18" width="12.7109375" bestFit="1" customWidth="1"/>
    <col min="19" max="19" width="12.5703125" bestFit="1" customWidth="1"/>
    <col min="21" max="23" width="0"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1104</v>
      </c>
      <c r="E5" s="25" t="s">
        <v>83</v>
      </c>
      <c r="F5" s="20" t="s">
        <v>442</v>
      </c>
      <c r="H5" s="3"/>
      <c r="I5" s="3"/>
      <c r="J5" s="3"/>
    </row>
    <row r="6" spans="1:23" ht="33" customHeight="1" x14ac:dyDescent="0.25">
      <c r="B6" s="25" t="s">
        <v>80</v>
      </c>
      <c r="C6" s="29" t="s">
        <v>409</v>
      </c>
      <c r="E6" s="25" t="s">
        <v>84</v>
      </c>
      <c r="F6" s="20" t="s">
        <v>443</v>
      </c>
      <c r="H6" s="3"/>
      <c r="I6" s="3"/>
      <c r="J6" s="3"/>
    </row>
    <row r="7" spans="1:23" ht="18" customHeight="1" x14ac:dyDescent="0.25">
      <c r="B7" s="25" t="s">
        <v>81</v>
      </c>
      <c r="C7" s="20">
        <v>11002</v>
      </c>
      <c r="H7" s="3"/>
      <c r="I7" s="3"/>
      <c r="J7" s="3"/>
    </row>
    <row r="8" spans="1:23" ht="33" customHeight="1" x14ac:dyDescent="0.25">
      <c r="B8" s="25" t="s">
        <v>82</v>
      </c>
      <c r="C8" s="29" t="s">
        <v>444</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17.25" x14ac:dyDescent="0.3">
      <c r="B13" s="21" t="s">
        <v>43</v>
      </c>
      <c r="C13" s="21" t="s">
        <v>445</v>
      </c>
      <c r="D13" s="21"/>
      <c r="E13" s="21"/>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15" customHeight="1" x14ac:dyDescent="0.25">
      <c r="B17" s="365" t="s">
        <v>89</v>
      </c>
      <c r="C17" s="365" t="s">
        <v>90</v>
      </c>
      <c r="D17" s="365" t="s">
        <v>91</v>
      </c>
      <c r="E17" s="365" t="s">
        <v>92</v>
      </c>
      <c r="F17" s="364" t="s">
        <v>93</v>
      </c>
      <c r="G17" s="364"/>
      <c r="H17" s="364"/>
      <c r="I17" s="364"/>
      <c r="J17" s="364"/>
      <c r="K17" s="364" t="s">
        <v>94</v>
      </c>
    </row>
    <row r="18" spans="1:11" ht="27" x14ac:dyDescent="0.25">
      <c r="B18" s="365"/>
      <c r="C18" s="365"/>
      <c r="D18" s="365"/>
      <c r="E18" s="365"/>
      <c r="F18" s="27" t="s">
        <v>51</v>
      </c>
      <c r="G18" s="27" t="s">
        <v>446</v>
      </c>
      <c r="H18" s="27" t="s">
        <v>0</v>
      </c>
      <c r="I18" s="27" t="s">
        <v>1</v>
      </c>
      <c r="J18" s="27" t="s">
        <v>3</v>
      </c>
      <c r="K18" s="364"/>
    </row>
    <row r="19" spans="1:11" ht="51" customHeight="1" x14ac:dyDescent="0.25">
      <c r="B19" s="133" t="s">
        <v>447</v>
      </c>
      <c r="C19" s="21" t="s">
        <v>448</v>
      </c>
      <c r="D19" s="21" t="s">
        <v>47</v>
      </c>
      <c r="E19" s="21"/>
      <c r="F19" s="21">
        <v>0</v>
      </c>
      <c r="G19" s="179">
        <v>218</v>
      </c>
      <c r="H19" s="179">
        <v>370</v>
      </c>
      <c r="I19" s="179">
        <v>450</v>
      </c>
      <c r="J19" s="179">
        <v>500</v>
      </c>
      <c r="K19" s="21"/>
    </row>
    <row r="20" spans="1:11" x14ac:dyDescent="0.25">
      <c r="B20" s="21"/>
      <c r="C20" s="21"/>
      <c r="D20" s="21"/>
      <c r="E20" s="21"/>
      <c r="F20" s="21"/>
      <c r="G20" s="21"/>
      <c r="H20" s="21"/>
      <c r="I20" s="21"/>
      <c r="J20" s="21"/>
      <c r="K20" s="21"/>
    </row>
    <row r="21" spans="1:11" x14ac:dyDescent="0.25">
      <c r="B21" s="21"/>
      <c r="C21" s="21"/>
      <c r="D21" s="21"/>
      <c r="E21" s="21"/>
      <c r="F21" s="21"/>
      <c r="G21" s="21"/>
      <c r="H21" s="21"/>
      <c r="I21" s="21"/>
      <c r="J21" s="21"/>
      <c r="K21" s="21"/>
    </row>
    <row r="22" spans="1:11" x14ac:dyDescent="0.25">
      <c r="B22" s="21"/>
      <c r="C22" s="21"/>
      <c r="D22" s="21"/>
      <c r="E22" s="21"/>
      <c r="F22" s="21"/>
      <c r="G22" s="21"/>
      <c r="H22" s="21"/>
      <c r="I22" s="21"/>
      <c r="J22" s="21"/>
      <c r="K22" s="21"/>
    </row>
    <row r="23" spans="1:11" ht="17.25" x14ac:dyDescent="0.25">
      <c r="B23" s="3"/>
      <c r="C23" s="3"/>
      <c r="D23" s="3"/>
      <c r="E23" s="3"/>
      <c r="F23" s="3"/>
      <c r="G23" s="3"/>
      <c r="H23" s="3"/>
      <c r="I23" s="3"/>
      <c r="J23" s="3"/>
    </row>
    <row r="24" spans="1:11" ht="15.75" x14ac:dyDescent="0.25">
      <c r="A24" s="12" t="s">
        <v>53</v>
      </c>
      <c r="C24" s="13"/>
      <c r="D24" s="13"/>
      <c r="E24" s="13"/>
      <c r="F24" s="13"/>
      <c r="G24" s="13"/>
      <c r="H24" s="13"/>
      <c r="I24" s="13"/>
      <c r="J24" s="13"/>
    </row>
    <row r="25" spans="1:11" x14ac:dyDescent="0.25">
      <c r="A25" s="14"/>
      <c r="C25" s="15"/>
      <c r="D25" s="15"/>
      <c r="E25" s="15"/>
      <c r="F25" s="15"/>
      <c r="G25" s="15"/>
      <c r="H25" s="15"/>
      <c r="I25" s="15"/>
      <c r="J25" s="15"/>
    </row>
    <row r="26" spans="1:11" x14ac:dyDescent="0.25">
      <c r="A26" s="16" t="s">
        <v>54</v>
      </c>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B29" s="17"/>
      <c r="C29" s="17"/>
      <c r="D29" s="17"/>
      <c r="E29" s="13"/>
      <c r="F29" s="13"/>
      <c r="G29" s="13"/>
      <c r="H29" s="13"/>
      <c r="I29" s="13"/>
      <c r="J29" s="13"/>
    </row>
    <row r="30" spans="1:11" x14ac:dyDescent="0.25">
      <c r="B30" s="17"/>
      <c r="C30" s="17"/>
      <c r="D30" s="17"/>
      <c r="E30" s="13"/>
      <c r="F30" s="13"/>
      <c r="G30" s="13"/>
      <c r="H30" s="13"/>
      <c r="I30" s="13"/>
      <c r="J30" s="13"/>
    </row>
    <row r="31" spans="1:11" x14ac:dyDescent="0.25">
      <c r="A31" s="16" t="s">
        <v>55</v>
      </c>
      <c r="E31" s="13"/>
      <c r="F31" s="13"/>
      <c r="G31" s="13"/>
      <c r="H31" s="13"/>
      <c r="I31" s="13"/>
      <c r="J31" s="13"/>
    </row>
    <row r="32" spans="1:11" x14ac:dyDescent="0.25">
      <c r="B32" s="360"/>
      <c r="C32" s="361"/>
      <c r="D32" s="361"/>
      <c r="E32" s="362"/>
      <c r="F32" s="13"/>
      <c r="G32" s="13"/>
      <c r="H32" s="13"/>
      <c r="I32" s="13"/>
      <c r="J32" s="13"/>
    </row>
    <row r="33" spans="1:19" ht="17.25" x14ac:dyDescent="0.25">
      <c r="B33" s="3"/>
      <c r="C33" s="3"/>
      <c r="D33" s="3"/>
      <c r="E33" s="13"/>
      <c r="F33" s="13"/>
      <c r="G33" s="13"/>
      <c r="H33" s="13"/>
      <c r="I33" s="13"/>
      <c r="J33" s="13"/>
    </row>
    <row r="34" spans="1:19" x14ac:dyDescent="0.25">
      <c r="A34" s="7" t="s">
        <v>56</v>
      </c>
    </row>
    <row r="36" spans="1:19" ht="54.75" customHeight="1" x14ac:dyDescent="0.25">
      <c r="B36" s="363" t="s">
        <v>95</v>
      </c>
      <c r="C36" s="4" t="s">
        <v>96</v>
      </c>
      <c r="D36" s="4" t="s">
        <v>97</v>
      </c>
      <c r="E36" s="358" t="s">
        <v>98</v>
      </c>
      <c r="F36" s="358"/>
      <c r="G36" s="358"/>
      <c r="H36" s="358" t="s">
        <v>99</v>
      </c>
      <c r="I36" s="358"/>
      <c r="J36" s="358"/>
      <c r="K36" s="358" t="s">
        <v>100</v>
      </c>
      <c r="L36" s="358"/>
      <c r="M36" s="358"/>
      <c r="N36" s="358" t="s">
        <v>101</v>
      </c>
      <c r="O36" s="358"/>
      <c r="P36" s="358"/>
      <c r="Q36" s="359" t="s">
        <v>102</v>
      </c>
      <c r="R36" s="359"/>
      <c r="S36" s="359"/>
    </row>
    <row r="37" spans="1:19" x14ac:dyDescent="0.25">
      <c r="B37" s="363"/>
      <c r="C37" s="4" t="s">
        <v>35</v>
      </c>
      <c r="D37" s="4" t="s">
        <v>36</v>
      </c>
      <c r="E37" s="19" t="s">
        <v>0</v>
      </c>
      <c r="F37" s="19" t="s">
        <v>1</v>
      </c>
      <c r="G37" s="19" t="s">
        <v>3</v>
      </c>
      <c r="H37" s="19" t="s">
        <v>0</v>
      </c>
      <c r="I37" s="19" t="s">
        <v>1</v>
      </c>
      <c r="J37" s="19" t="s">
        <v>3</v>
      </c>
      <c r="K37" s="19" t="s">
        <v>39</v>
      </c>
      <c r="L37" s="19" t="s">
        <v>38</v>
      </c>
      <c r="M37" s="19" t="s">
        <v>37</v>
      </c>
      <c r="N37" s="19" t="s">
        <v>39</v>
      </c>
      <c r="O37" s="19" t="s">
        <v>38</v>
      </c>
      <c r="P37" s="19" t="s">
        <v>37</v>
      </c>
      <c r="Q37" s="26" t="s">
        <v>0</v>
      </c>
      <c r="R37" s="26" t="s">
        <v>1</v>
      </c>
      <c r="S37" s="26" t="s">
        <v>3</v>
      </c>
    </row>
    <row r="38" spans="1:19" ht="27" x14ac:dyDescent="0.25">
      <c r="B38" s="22" t="s">
        <v>449</v>
      </c>
      <c r="C38" s="22">
        <v>0</v>
      </c>
      <c r="D38" s="139">
        <v>734400</v>
      </c>
      <c r="E38" s="23"/>
      <c r="F38" s="23"/>
      <c r="G38" s="23"/>
      <c r="H38" s="179">
        <f>1080000-D38</f>
        <v>345600</v>
      </c>
      <c r="I38" s="179">
        <f>1200000-D38</f>
        <v>465600</v>
      </c>
      <c r="J38" s="179">
        <f>1300000-D38</f>
        <v>565600</v>
      </c>
      <c r="K38" s="176">
        <f>C38+E38+H38</f>
        <v>345600</v>
      </c>
      <c r="L38" s="19">
        <f>C38+F38+I38</f>
        <v>465600</v>
      </c>
      <c r="M38" s="19">
        <f>C38+G38+J38</f>
        <v>565600</v>
      </c>
      <c r="N38" s="23"/>
      <c r="O38" s="23"/>
      <c r="P38" s="23"/>
      <c r="Q38" s="263">
        <f>K38+N38</f>
        <v>345600</v>
      </c>
      <c r="R38" s="263">
        <f>L38+O38</f>
        <v>465600</v>
      </c>
      <c r="S38" s="263">
        <f>M38+P38</f>
        <v>565600</v>
      </c>
    </row>
    <row r="39" spans="1:19" ht="40.5" x14ac:dyDescent="0.25">
      <c r="B39" s="22" t="s">
        <v>450</v>
      </c>
      <c r="C39" s="22">
        <v>0</v>
      </c>
      <c r="D39" s="139">
        <v>420000</v>
      </c>
      <c r="E39" s="23"/>
      <c r="F39" s="23"/>
      <c r="G39" s="23"/>
      <c r="H39" s="90">
        <f>600000-D39</f>
        <v>180000</v>
      </c>
      <c r="I39" s="90">
        <f>650000-D39</f>
        <v>230000</v>
      </c>
      <c r="J39" s="90">
        <f>700000-D39</f>
        <v>280000</v>
      </c>
      <c r="K39" s="52">
        <f t="shared" ref="K39:M41" si="0">C39+E39+H39</f>
        <v>180000</v>
      </c>
      <c r="L39" s="52">
        <f t="shared" si="0"/>
        <v>650000</v>
      </c>
      <c r="M39" s="52">
        <f t="shared" si="0"/>
        <v>280000</v>
      </c>
      <c r="N39" s="23"/>
      <c r="O39" s="23"/>
      <c r="P39" s="23"/>
      <c r="Q39" s="263">
        <f t="shared" ref="Q39:S41" si="1">K39+N39</f>
        <v>180000</v>
      </c>
      <c r="R39" s="263">
        <f t="shared" si="1"/>
        <v>650000</v>
      </c>
      <c r="S39" s="263">
        <f t="shared" si="1"/>
        <v>280000</v>
      </c>
    </row>
    <row r="40" spans="1:19" ht="27" x14ac:dyDescent="0.25">
      <c r="B40" s="22" t="s">
        <v>451</v>
      </c>
      <c r="C40" s="22">
        <v>0</v>
      </c>
      <c r="D40" s="139">
        <v>156420</v>
      </c>
      <c r="E40" s="23"/>
      <c r="F40" s="23"/>
      <c r="G40" s="23"/>
      <c r="H40" s="90">
        <f>172800-D40</f>
        <v>16380</v>
      </c>
      <c r="I40" s="90">
        <f>190000-D40</f>
        <v>33580</v>
      </c>
      <c r="J40" s="90">
        <f>200000-D40</f>
        <v>43580</v>
      </c>
      <c r="K40" s="52">
        <f t="shared" si="0"/>
        <v>16380</v>
      </c>
      <c r="L40" s="52">
        <f t="shared" si="0"/>
        <v>190000</v>
      </c>
      <c r="M40" s="52">
        <f t="shared" si="0"/>
        <v>43580</v>
      </c>
      <c r="N40" s="23"/>
      <c r="O40" s="23"/>
      <c r="P40" s="23"/>
      <c r="Q40" s="263">
        <f>K40+N40</f>
        <v>16380</v>
      </c>
      <c r="R40" s="263">
        <f>L40+O40</f>
        <v>190000</v>
      </c>
      <c r="S40" s="263">
        <f>M40+P40</f>
        <v>43580</v>
      </c>
    </row>
    <row r="41" spans="1:19" ht="18.600000000000001" customHeight="1" x14ac:dyDescent="0.25">
      <c r="B41" s="22" t="s">
        <v>452</v>
      </c>
      <c r="C41" s="22">
        <v>0</v>
      </c>
      <c r="D41" s="139">
        <v>262380</v>
      </c>
      <c r="E41" s="23"/>
      <c r="F41" s="23"/>
      <c r="G41" s="23"/>
      <c r="H41" s="90">
        <f>370560-D41</f>
        <v>108180</v>
      </c>
      <c r="I41" s="90">
        <f>408000-D41</f>
        <v>145620</v>
      </c>
      <c r="J41" s="90">
        <f>440000-D41</f>
        <v>177620</v>
      </c>
      <c r="K41" s="52">
        <f t="shared" si="0"/>
        <v>108180</v>
      </c>
      <c r="L41" s="52">
        <f t="shared" si="0"/>
        <v>408000</v>
      </c>
      <c r="M41" s="52">
        <f t="shared" si="0"/>
        <v>177620</v>
      </c>
      <c r="N41" s="23"/>
      <c r="O41" s="23"/>
      <c r="P41" s="23"/>
      <c r="Q41" s="263">
        <f t="shared" si="1"/>
        <v>108180</v>
      </c>
      <c r="R41" s="263">
        <f t="shared" si="1"/>
        <v>408000</v>
      </c>
      <c r="S41" s="263">
        <f t="shared" si="1"/>
        <v>177620</v>
      </c>
    </row>
    <row r="42" spans="1:19" ht="28.5" x14ac:dyDescent="0.25">
      <c r="B42" s="18" t="s">
        <v>73</v>
      </c>
      <c r="C42" s="22"/>
      <c r="D42" s="139">
        <f>SUM(D38:D41)</f>
        <v>1573200</v>
      </c>
      <c r="E42" s="19">
        <f>SUM(E38:E41)</f>
        <v>0</v>
      </c>
      <c r="F42" s="19">
        <f t="shared" ref="F42:J42" si="2">SUM(F38:F41)</f>
        <v>0</v>
      </c>
      <c r="G42" s="19">
        <f t="shared" si="2"/>
        <v>0</v>
      </c>
      <c r="H42" s="52">
        <f>SUM(H38:H41)</f>
        <v>650160</v>
      </c>
      <c r="I42" s="52">
        <f>SUM(I38:I41)</f>
        <v>874800</v>
      </c>
      <c r="J42" s="52">
        <f t="shared" si="2"/>
        <v>1066800</v>
      </c>
      <c r="K42" s="52">
        <f>D42+E42+H42</f>
        <v>2223360</v>
      </c>
      <c r="L42" s="52">
        <f>D42+F42+I42</f>
        <v>2448000</v>
      </c>
      <c r="M42" s="52">
        <f>D42+G42+J42</f>
        <v>2640000</v>
      </c>
      <c r="N42" s="4" t="s">
        <v>2</v>
      </c>
      <c r="O42" s="4" t="s">
        <v>2</v>
      </c>
      <c r="P42" s="4" t="s">
        <v>2</v>
      </c>
      <c r="Q42" s="263" t="s">
        <v>2</v>
      </c>
      <c r="R42" s="263" t="s">
        <v>2</v>
      </c>
      <c r="S42" s="263" t="s">
        <v>2</v>
      </c>
    </row>
    <row r="43" spans="1:19" ht="28.5" x14ac:dyDescent="0.25">
      <c r="B43" s="18" t="s">
        <v>60</v>
      </c>
      <c r="C43" s="22"/>
      <c r="D43" s="22"/>
      <c r="E43" s="19" t="s">
        <v>72</v>
      </c>
      <c r="F43" s="19" t="s">
        <v>72</v>
      </c>
      <c r="G43" s="19" t="s">
        <v>72</v>
      </c>
      <c r="H43" s="52" t="s">
        <v>72</v>
      </c>
      <c r="I43" s="52" t="s">
        <v>72</v>
      </c>
      <c r="J43" s="52" t="s">
        <v>72</v>
      </c>
      <c r="K43" s="52">
        <f>C43</f>
        <v>0</v>
      </c>
      <c r="L43" s="52">
        <f>C43</f>
        <v>0</v>
      </c>
      <c r="M43" s="52">
        <f>C43</f>
        <v>0</v>
      </c>
      <c r="N43" s="4" t="s">
        <v>2</v>
      </c>
      <c r="O43" s="4" t="s">
        <v>2</v>
      </c>
      <c r="P43" s="4" t="s">
        <v>2</v>
      </c>
      <c r="Q43" s="263" t="s">
        <v>2</v>
      </c>
      <c r="R43" s="263" t="s">
        <v>2</v>
      </c>
      <c r="S43" s="263" t="s">
        <v>2</v>
      </c>
    </row>
    <row r="44" spans="1:19" ht="23.45" customHeight="1" x14ac:dyDescent="0.25">
      <c r="B44" s="246" t="s">
        <v>698</v>
      </c>
      <c r="C44" s="255">
        <f>SUM(C38:C41)</f>
        <v>0</v>
      </c>
      <c r="D44" s="294">
        <f>SUM(D38:D41)</f>
        <v>1573200</v>
      </c>
      <c r="E44" s="255">
        <f>E42</f>
        <v>0</v>
      </c>
      <c r="F44" s="255">
        <f t="shared" ref="F44:J44" si="3">F42</f>
        <v>0</v>
      </c>
      <c r="G44" s="255">
        <f t="shared" si="3"/>
        <v>0</v>
      </c>
      <c r="H44" s="259">
        <f t="shared" si="3"/>
        <v>650160</v>
      </c>
      <c r="I44" s="259">
        <f>I42</f>
        <v>874800</v>
      </c>
      <c r="J44" s="259">
        <f t="shared" si="3"/>
        <v>1066800</v>
      </c>
      <c r="K44" s="260">
        <f>K42+K43</f>
        <v>2223360</v>
      </c>
      <c r="L44" s="260">
        <f t="shared" ref="L44:M44" si="4">L42+L43</f>
        <v>2448000</v>
      </c>
      <c r="M44" s="260">
        <f t="shared" si="4"/>
        <v>2640000</v>
      </c>
      <c r="N44" s="4">
        <f>SUM(N38:N41)</f>
        <v>0</v>
      </c>
      <c r="O44" s="4">
        <f t="shared" ref="O44:P44" si="5">SUM(O38:O41)</f>
        <v>0</v>
      </c>
      <c r="P44" s="4">
        <f t="shared" si="5"/>
        <v>0</v>
      </c>
      <c r="Q44" s="263">
        <f>K44+N44</f>
        <v>2223360</v>
      </c>
      <c r="R44" s="263">
        <f>L44+O44</f>
        <v>2448000</v>
      </c>
      <c r="S44" s="263">
        <f>M44+P44</f>
        <v>2640000</v>
      </c>
    </row>
    <row r="46" spans="1:19" x14ac:dyDescent="0.25">
      <c r="E46" s="180"/>
    </row>
    <row r="47" spans="1:19" x14ac:dyDescent="0.25">
      <c r="D47" s="86"/>
    </row>
    <row r="48" spans="1:19" x14ac:dyDescent="0.25">
      <c r="D48" s="180"/>
    </row>
    <row r="49" spans="4:4" x14ac:dyDescent="0.25">
      <c r="D49" s="180"/>
    </row>
  </sheetData>
  <mergeCells count="13">
    <mergeCell ref="K17:K18"/>
    <mergeCell ref="B17:B18"/>
    <mergeCell ref="C17:C18"/>
    <mergeCell ref="D17:D18"/>
    <mergeCell ref="E17:E18"/>
    <mergeCell ref="F17:J17"/>
    <mergeCell ref="Q36:S36"/>
    <mergeCell ref="B32:E32"/>
    <mergeCell ref="B36:B37"/>
    <mergeCell ref="E36:G36"/>
    <mergeCell ref="H36:J36"/>
    <mergeCell ref="K36:M36"/>
    <mergeCell ref="N36:P36"/>
  </mergeCells>
  <dataValidations count="4">
    <dataValidation showInputMessage="1" showErrorMessage="1" sqref="E19:E22" xr:uid="{22C58B3D-D19A-435F-A6F1-977CA008220A}"/>
    <dataValidation type="list" allowBlank="1" showInputMessage="1" showErrorMessage="1" sqref="D19:D22" xr:uid="{F72B98E2-DCC2-4E15-93F0-04888CBB374A}">
      <formula1>$V$2:$V$3</formula1>
    </dataValidation>
    <dataValidation type="list" allowBlank="1" showInputMessage="1" showErrorMessage="1" sqref="B13" xr:uid="{BE845239-D4DB-40B4-A8CD-91B53DF33930}">
      <formula1>$U$2:$U$4</formula1>
    </dataValidation>
    <dataValidation type="custom" allowBlank="1" showInputMessage="1" showErrorMessage="1" sqref="N38:P41" xr:uid="{CE9B16EC-1995-42FC-80F7-D380FF31B654}">
      <formula1>"-"</formula1>
    </dataValidation>
  </dataValidations>
  <hyperlinks>
    <hyperlink ref="C12" location="_ftn1" display="_ftn1" xr:uid="{83CE358C-FA7D-4D9C-B454-CFB7E1305436}"/>
    <hyperlink ref="D12" location="_ftn2" display="_ftn2" xr:uid="{A570395A-DAE4-4E3A-AB76-954B58B753BB}"/>
    <hyperlink ref="E12" location="_ftn3" display="_ftn3" xr:uid="{7E2AEE93-F8F6-49CF-9F95-5C4878EC48A7}"/>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5601" r:id="rId3" name="Check Box 1">
              <controlPr defaultSize="0" autoFill="0" autoLine="0" autoPict="0">
                <anchor moveWithCells="1">
                  <from>
                    <xdr:col>1</xdr:col>
                    <xdr:colOff>85725</xdr:colOff>
                    <xdr:row>28</xdr:row>
                    <xdr:rowOff>0</xdr:rowOff>
                  </from>
                  <to>
                    <xdr:col>2</xdr:col>
                    <xdr:colOff>1171575</xdr:colOff>
                    <xdr:row>29</xdr:row>
                    <xdr:rowOff>38100</xdr:rowOff>
                  </to>
                </anchor>
              </controlPr>
            </control>
          </mc:Choice>
        </mc:AlternateContent>
        <mc:AlternateContent xmlns:mc="http://schemas.openxmlformats.org/markup-compatibility/2006">
          <mc:Choice Requires="x14">
            <control shapeId="25602" r:id="rId4" name="Check Box 2">
              <controlPr defaultSize="0" autoFill="0" autoLine="0" autoPict="0">
                <anchor moveWithCells="1">
                  <from>
                    <xdr:col>1</xdr:col>
                    <xdr:colOff>85725</xdr:colOff>
                    <xdr:row>25</xdr:row>
                    <xdr:rowOff>171450</xdr:rowOff>
                  </from>
                  <to>
                    <xdr:col>2</xdr:col>
                    <xdr:colOff>1924050</xdr:colOff>
                    <xdr:row>27</xdr:row>
                    <xdr:rowOff>47625</xdr:rowOff>
                  </to>
                </anchor>
              </controlPr>
            </control>
          </mc:Choice>
        </mc:AlternateContent>
        <mc:AlternateContent xmlns:mc="http://schemas.openxmlformats.org/markup-compatibility/2006">
          <mc:Choice Requires="x14">
            <control shapeId="25603" r:id="rId5" name="Check Box 3">
              <controlPr defaultSize="0" autoFill="0" autoLine="0" autoPict="0">
                <anchor moveWithCells="1">
                  <from>
                    <xdr:col>1</xdr:col>
                    <xdr:colOff>85725</xdr:colOff>
                    <xdr:row>27</xdr:row>
                    <xdr:rowOff>28575</xdr:rowOff>
                  </from>
                  <to>
                    <xdr:col>2</xdr:col>
                    <xdr:colOff>1924050</xdr:colOff>
                    <xdr:row>28</xdr:row>
                    <xdr:rowOff>9525</xdr:rowOff>
                  </to>
                </anchor>
              </controlPr>
            </control>
          </mc:Choice>
        </mc:AlternateContent>
        <mc:AlternateContent xmlns:mc="http://schemas.openxmlformats.org/markup-compatibility/2006">
          <mc:Choice Requires="x14">
            <control shapeId="25604" r:id="rId6" name="Check Box 4">
              <controlPr defaultSize="0" autoFill="0" autoLine="0" autoPict="0">
                <anchor moveWithCells="1">
                  <from>
                    <xdr:col>1</xdr:col>
                    <xdr:colOff>95250</xdr:colOff>
                    <xdr:row>29</xdr:row>
                    <xdr:rowOff>9525</xdr:rowOff>
                  </from>
                  <to>
                    <xdr:col>2</xdr:col>
                    <xdr:colOff>571500</xdr:colOff>
                    <xdr:row>30</xdr:row>
                    <xdr:rowOff>9525</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8895D-4E4F-4854-A3A0-F1EB5FEC0293}">
  <dimension ref="A1:W46"/>
  <sheetViews>
    <sheetView topLeftCell="A25" workbookViewId="0">
      <selection activeCell="C38" sqref="C38"/>
    </sheetView>
  </sheetViews>
  <sheetFormatPr defaultRowHeight="15" x14ac:dyDescent="0.25"/>
  <cols>
    <col min="1" max="1" width="6" customWidth="1"/>
    <col min="2" max="2" width="41.28515625" customWidth="1"/>
    <col min="3" max="3" width="54.7109375" customWidth="1"/>
    <col min="4" max="4" width="31.5703125" customWidth="1"/>
    <col min="5" max="5" width="40" customWidth="1"/>
    <col min="6" max="6" width="24.5703125" customWidth="1"/>
    <col min="7" max="7" width="22.5703125" customWidth="1"/>
    <col min="8" max="8" width="16" bestFit="1" customWidth="1"/>
    <col min="9" max="9" width="15.85546875" bestFit="1" customWidth="1"/>
    <col min="10" max="10" width="15.28515625" customWidth="1"/>
    <col min="11" max="11" width="46.42578125" customWidth="1"/>
    <col min="12" max="12" width="15.5703125" bestFit="1" customWidth="1"/>
    <col min="13" max="13" width="16.28515625" bestFit="1" customWidth="1"/>
    <col min="14" max="14" width="9.5703125" customWidth="1"/>
    <col min="15" max="15" width="8.140625" customWidth="1"/>
    <col min="16" max="16" width="8" customWidth="1"/>
    <col min="17" max="17" width="15.85546875" bestFit="1" customWidth="1"/>
    <col min="18" max="19" width="16.28515625" bestFit="1" customWidth="1"/>
    <col min="21" max="23" width="0"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t="s">
        <v>741</v>
      </c>
      <c r="E5" s="25" t="s">
        <v>83</v>
      </c>
      <c r="F5" s="20" t="s">
        <v>453</v>
      </c>
      <c r="H5" s="3"/>
      <c r="I5" s="3"/>
      <c r="J5" s="3"/>
    </row>
    <row r="6" spans="1:23" ht="33" customHeight="1" x14ac:dyDescent="0.25">
      <c r="B6" s="25" t="s">
        <v>80</v>
      </c>
      <c r="C6" s="29" t="s">
        <v>409</v>
      </c>
      <c r="E6" s="25" t="s">
        <v>84</v>
      </c>
      <c r="F6" s="20" t="s">
        <v>454</v>
      </c>
      <c r="H6" s="3"/>
      <c r="I6" s="3"/>
      <c r="J6" s="3"/>
    </row>
    <row r="7" spans="1:23" ht="18" customHeight="1" x14ac:dyDescent="0.25">
      <c r="B7" s="25" t="s">
        <v>81</v>
      </c>
      <c r="C7" s="20">
        <v>12001</v>
      </c>
      <c r="H7" s="3"/>
      <c r="I7" s="3"/>
      <c r="J7" s="3"/>
    </row>
    <row r="8" spans="1:23" ht="33" customHeight="1" x14ac:dyDescent="0.25">
      <c r="B8" s="25" t="s">
        <v>82</v>
      </c>
      <c r="C8" s="29" t="s">
        <v>455</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17.25" x14ac:dyDescent="0.3">
      <c r="B13" s="21" t="s">
        <v>43</v>
      </c>
      <c r="C13" s="21" t="s">
        <v>456</v>
      </c>
      <c r="D13" s="21"/>
      <c r="E13" s="21"/>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15" customHeight="1" x14ac:dyDescent="0.25">
      <c r="B17" s="365" t="s">
        <v>89</v>
      </c>
      <c r="C17" s="365" t="s">
        <v>90</v>
      </c>
      <c r="D17" s="365" t="s">
        <v>91</v>
      </c>
      <c r="E17" s="365" t="s">
        <v>92</v>
      </c>
      <c r="F17" s="364" t="s">
        <v>93</v>
      </c>
      <c r="G17" s="364"/>
      <c r="H17" s="364"/>
      <c r="I17" s="364"/>
      <c r="J17" s="364"/>
      <c r="K17" s="364" t="s">
        <v>94</v>
      </c>
    </row>
    <row r="18" spans="1:11" ht="27" x14ac:dyDescent="0.25">
      <c r="B18" s="365"/>
      <c r="C18" s="365"/>
      <c r="D18" s="365"/>
      <c r="E18" s="365"/>
      <c r="F18" s="27" t="s">
        <v>51</v>
      </c>
      <c r="G18" s="27" t="s">
        <v>52</v>
      </c>
      <c r="H18" s="27" t="s">
        <v>0</v>
      </c>
      <c r="I18" s="27" t="s">
        <v>1</v>
      </c>
      <c r="J18" s="27" t="s">
        <v>3</v>
      </c>
      <c r="K18" s="364"/>
    </row>
    <row r="19" spans="1:11" ht="61.5" customHeight="1" x14ac:dyDescent="0.25">
      <c r="B19" s="133" t="s">
        <v>457</v>
      </c>
      <c r="C19" s="21" t="s">
        <v>448</v>
      </c>
      <c r="D19" s="21" t="s">
        <v>47</v>
      </c>
      <c r="E19" s="21"/>
      <c r="F19" s="179">
        <v>1152</v>
      </c>
      <c r="G19" s="179">
        <v>1000</v>
      </c>
      <c r="H19" s="179">
        <v>1200</v>
      </c>
      <c r="I19" s="179">
        <v>1500</v>
      </c>
      <c r="J19" s="179">
        <v>1500</v>
      </c>
      <c r="K19" s="133" t="s">
        <v>458</v>
      </c>
    </row>
    <row r="20" spans="1:11" ht="17.25" x14ac:dyDescent="0.25">
      <c r="B20" s="3"/>
      <c r="C20" s="3"/>
      <c r="D20" s="3"/>
      <c r="E20" s="3"/>
      <c r="F20" s="13"/>
      <c r="G20" s="13"/>
      <c r="H20" s="13"/>
      <c r="I20" s="13"/>
    </row>
    <row r="21" spans="1:11" ht="15.75" x14ac:dyDescent="0.25">
      <c r="A21" s="12" t="s">
        <v>53</v>
      </c>
      <c r="C21" s="13"/>
      <c r="D21" s="13"/>
      <c r="E21" s="13"/>
      <c r="F21" s="13"/>
    </row>
    <row r="22" spans="1:11" x14ac:dyDescent="0.25">
      <c r="A22" s="14"/>
      <c r="C22" s="15"/>
      <c r="D22" s="15"/>
      <c r="E22" s="15"/>
      <c r="F22" s="15"/>
      <c r="G22" s="15"/>
      <c r="H22" s="15"/>
      <c r="I22" s="15"/>
      <c r="J22" s="15"/>
    </row>
    <row r="23" spans="1:11" x14ac:dyDescent="0.25">
      <c r="A23" s="16" t="s">
        <v>54</v>
      </c>
      <c r="C23" s="17"/>
      <c r="D23" s="17"/>
      <c r="E23" s="13"/>
      <c r="F23" s="13"/>
      <c r="G23" s="13"/>
      <c r="H23" s="13"/>
      <c r="I23" s="13"/>
      <c r="J23" s="13"/>
    </row>
    <row r="24" spans="1:11" x14ac:dyDescent="0.25">
      <c r="B24" s="17"/>
      <c r="C24" s="17"/>
      <c r="D24" s="17"/>
      <c r="E24" s="13"/>
      <c r="F24" s="13"/>
      <c r="G24" s="13"/>
      <c r="H24" s="13"/>
      <c r="I24" s="13"/>
      <c r="J24" s="13"/>
    </row>
    <row r="25" spans="1:11" x14ac:dyDescent="0.25">
      <c r="B25" s="17"/>
      <c r="C25" s="17"/>
      <c r="D25" s="17"/>
      <c r="E25" s="13"/>
      <c r="F25" s="13"/>
      <c r="G25" s="13"/>
      <c r="H25" s="13"/>
      <c r="I25" s="13"/>
      <c r="J25" s="13"/>
    </row>
    <row r="26" spans="1:11" x14ac:dyDescent="0.25">
      <c r="B26" s="17"/>
      <c r="C26" s="17"/>
      <c r="D26" s="17"/>
      <c r="E26" s="13"/>
      <c r="F26" s="13"/>
      <c r="G26" s="13"/>
      <c r="H26" s="13"/>
      <c r="I26" s="13"/>
      <c r="J26" s="13"/>
      <c r="K26" s="180">
        <f>+H35*1.4</f>
        <v>11428078.766999999</v>
      </c>
    </row>
    <row r="27" spans="1:11" x14ac:dyDescent="0.25">
      <c r="B27" s="17"/>
      <c r="C27" s="17"/>
      <c r="D27" s="17"/>
      <c r="E27" s="13"/>
      <c r="F27" s="13"/>
      <c r="G27" s="13"/>
      <c r="H27" s="13"/>
      <c r="I27" s="13"/>
      <c r="J27" s="13"/>
    </row>
    <row r="28" spans="1:11" x14ac:dyDescent="0.25">
      <c r="A28" s="16" t="s">
        <v>55</v>
      </c>
      <c r="E28" s="13"/>
      <c r="F28" s="13"/>
      <c r="G28" s="13"/>
      <c r="H28" s="13"/>
      <c r="I28" s="13"/>
      <c r="J28" s="13"/>
    </row>
    <row r="29" spans="1:11" x14ac:dyDescent="0.25">
      <c r="B29" s="360"/>
      <c r="C29" s="361"/>
      <c r="D29" s="361"/>
      <c r="E29" s="362"/>
      <c r="F29" s="13"/>
      <c r="G29" s="13"/>
      <c r="H29" s="13"/>
      <c r="I29" s="13"/>
      <c r="J29" s="13"/>
    </row>
    <row r="30" spans="1:11" ht="17.25" x14ac:dyDescent="0.25">
      <c r="B30" s="3"/>
      <c r="C30" s="3"/>
      <c r="D30" s="3"/>
      <c r="E30" s="13"/>
      <c r="F30" s="13"/>
      <c r="G30" s="13"/>
      <c r="H30" s="13"/>
      <c r="I30" s="13"/>
      <c r="J30" s="13"/>
    </row>
    <row r="31" spans="1:11" x14ac:dyDescent="0.25">
      <c r="A31" s="7" t="s">
        <v>56</v>
      </c>
    </row>
    <row r="33" spans="2:19" ht="54.75" customHeight="1" x14ac:dyDescent="0.25">
      <c r="B33" s="363" t="s">
        <v>95</v>
      </c>
      <c r="C33" s="4" t="s">
        <v>96</v>
      </c>
      <c r="D33" s="4" t="s">
        <v>97</v>
      </c>
      <c r="E33" s="358" t="s">
        <v>98</v>
      </c>
      <c r="F33" s="358"/>
      <c r="G33" s="358"/>
      <c r="H33" s="358" t="s">
        <v>99</v>
      </c>
      <c r="I33" s="358"/>
      <c r="J33" s="358"/>
      <c r="K33" s="358" t="s">
        <v>100</v>
      </c>
      <c r="L33" s="358"/>
      <c r="M33" s="358"/>
      <c r="N33" s="358" t="s">
        <v>101</v>
      </c>
      <c r="O33" s="358"/>
      <c r="P33" s="358"/>
      <c r="Q33" s="359" t="s">
        <v>102</v>
      </c>
      <c r="R33" s="359"/>
      <c r="S33" s="359"/>
    </row>
    <row r="34" spans="2:19" x14ac:dyDescent="0.25">
      <c r="B34" s="363"/>
      <c r="C34" s="4" t="s">
        <v>35</v>
      </c>
      <c r="D34" s="4" t="s">
        <v>36</v>
      </c>
      <c r="E34" s="19" t="s">
        <v>0</v>
      </c>
      <c r="F34" s="19" t="s">
        <v>1</v>
      </c>
      <c r="G34" s="19" t="s">
        <v>3</v>
      </c>
      <c r="H34" s="19" t="s">
        <v>0</v>
      </c>
      <c r="I34" s="19" t="s">
        <v>1</v>
      </c>
      <c r="J34" s="19" t="s">
        <v>3</v>
      </c>
      <c r="K34" s="19" t="s">
        <v>39</v>
      </c>
      <c r="L34" s="19" t="s">
        <v>38</v>
      </c>
      <c r="M34" s="19" t="s">
        <v>37</v>
      </c>
      <c r="N34" s="19" t="s">
        <v>39</v>
      </c>
      <c r="O34" s="19" t="s">
        <v>38</v>
      </c>
      <c r="P34" s="19" t="s">
        <v>37</v>
      </c>
      <c r="Q34" s="26" t="s">
        <v>0</v>
      </c>
      <c r="R34" s="26" t="s">
        <v>1</v>
      </c>
      <c r="S34" s="26" t="s">
        <v>3</v>
      </c>
    </row>
    <row r="35" spans="2:19" ht="24.75" customHeight="1" x14ac:dyDescent="0.25">
      <c r="B35" s="22" t="s">
        <v>459</v>
      </c>
      <c r="C35" s="139">
        <v>199044.99</v>
      </c>
      <c r="D35" s="139"/>
      <c r="E35" s="179"/>
      <c r="F35" s="179"/>
      <c r="G35" s="179"/>
      <c r="H35" s="179">
        <f>8361958.395-C35</f>
        <v>8162913.4049999993</v>
      </c>
      <c r="I35" s="179">
        <f>11428078.893-C35</f>
        <v>11229033.902999999</v>
      </c>
      <c r="J35" s="179">
        <f>11428078.893-D35</f>
        <v>11428078.892999999</v>
      </c>
      <c r="K35" s="52">
        <f t="shared" ref="K35:M39" si="0">C35+E35+H35</f>
        <v>8361958.3949999996</v>
      </c>
      <c r="L35" s="52">
        <f>C35+F35+I35</f>
        <v>11428078.892999999</v>
      </c>
      <c r="M35" s="52">
        <f>C35+G35+J35</f>
        <v>11627123.882999999</v>
      </c>
      <c r="N35" s="23"/>
      <c r="O35" s="23"/>
      <c r="P35" s="23"/>
      <c r="Q35" s="177">
        <f>K35+N35</f>
        <v>8361958.3949999996</v>
      </c>
      <c r="R35" s="177">
        <f>L35+O35</f>
        <v>11428078.892999999</v>
      </c>
      <c r="S35" s="177">
        <f>M35+P35</f>
        <v>11627123.882999999</v>
      </c>
    </row>
    <row r="36" spans="2:19" ht="24.75" customHeight="1" x14ac:dyDescent="0.25">
      <c r="B36" s="22" t="s">
        <v>460</v>
      </c>
      <c r="C36" s="139">
        <v>60495.6</v>
      </c>
      <c r="D36" s="139"/>
      <c r="E36" s="179"/>
      <c r="F36" s="179"/>
      <c r="G36" s="179"/>
      <c r="H36" s="179">
        <f>2541138.881-C36</f>
        <v>2480643.281</v>
      </c>
      <c r="I36" s="179">
        <f>3472900.593-C36</f>
        <v>3412404.9929999998</v>
      </c>
      <c r="J36" s="179">
        <f>3472900.593-D36</f>
        <v>3472900.5929999999</v>
      </c>
      <c r="K36" s="52">
        <f t="shared" si="0"/>
        <v>2541138.8810000001</v>
      </c>
      <c r="L36" s="52">
        <f t="shared" si="0"/>
        <v>3412404.9929999998</v>
      </c>
      <c r="M36" s="52">
        <f t="shared" si="0"/>
        <v>3472900.5929999999</v>
      </c>
      <c r="N36" s="23"/>
      <c r="O36" s="23"/>
      <c r="P36" s="23"/>
      <c r="Q36" s="177">
        <f t="shared" ref="Q36:S39" si="1">K36+N36</f>
        <v>2541138.8810000001</v>
      </c>
      <c r="R36" s="177">
        <f t="shared" si="1"/>
        <v>3412404.9929999998</v>
      </c>
      <c r="S36" s="177">
        <f t="shared" si="1"/>
        <v>3472900.5929999999</v>
      </c>
    </row>
    <row r="37" spans="2:19" ht="24.75" customHeight="1" x14ac:dyDescent="0.25">
      <c r="B37" s="22" t="s">
        <v>461</v>
      </c>
      <c r="C37" s="139">
        <v>63473.2</v>
      </c>
      <c r="D37" s="139"/>
      <c r="E37" s="179"/>
      <c r="F37" s="179"/>
      <c r="G37" s="179"/>
      <c r="H37" s="179">
        <f>2592548.567-C37</f>
        <v>2529075.3669999996</v>
      </c>
      <c r="I37" s="179">
        <f>3540705.513-C37</f>
        <v>3477232.3129999996</v>
      </c>
      <c r="J37" s="179">
        <f>3540705.513-D37</f>
        <v>3540705.5129999998</v>
      </c>
      <c r="K37" s="52">
        <f t="shared" si="0"/>
        <v>2592548.5669999998</v>
      </c>
      <c r="L37" s="52">
        <f t="shared" si="0"/>
        <v>3477232.3129999996</v>
      </c>
      <c r="M37" s="52">
        <f t="shared" si="0"/>
        <v>3540705.5129999998</v>
      </c>
      <c r="N37" s="23"/>
      <c r="O37" s="23"/>
      <c r="P37" s="23"/>
      <c r="Q37" s="177">
        <f t="shared" si="1"/>
        <v>2592548.5669999998</v>
      </c>
      <c r="R37" s="177">
        <f t="shared" si="1"/>
        <v>3477232.3129999996</v>
      </c>
      <c r="S37" s="177">
        <f t="shared" si="1"/>
        <v>3540705.5129999998</v>
      </c>
    </row>
    <row r="38" spans="2:19" ht="24.75" customHeight="1" x14ac:dyDescent="0.25">
      <c r="B38" s="22" t="s">
        <v>462</v>
      </c>
      <c r="C38" s="139">
        <v>38885.648999999998</v>
      </c>
      <c r="D38" s="139"/>
      <c r="E38" s="179"/>
      <c r="F38" s="179"/>
      <c r="G38" s="179"/>
      <c r="H38" s="179">
        <f>1706074.539-C38</f>
        <v>1667188.8900000001</v>
      </c>
      <c r="I38" s="179">
        <f>2334064.446-C38</f>
        <v>2295178.7969999998</v>
      </c>
      <c r="J38" s="179">
        <f>2334064.446-D38</f>
        <v>2334064.446</v>
      </c>
      <c r="K38" s="52">
        <f t="shared" si="0"/>
        <v>1706074.5390000001</v>
      </c>
      <c r="L38" s="52">
        <f t="shared" si="0"/>
        <v>2295178.7969999998</v>
      </c>
      <c r="M38" s="52">
        <f t="shared" si="0"/>
        <v>2334064.446</v>
      </c>
      <c r="N38" s="23"/>
      <c r="O38" s="23"/>
      <c r="P38" s="23"/>
      <c r="Q38" s="177">
        <f>K38+N38</f>
        <v>1706074.5390000001</v>
      </c>
      <c r="R38" s="177"/>
      <c r="S38" s="177"/>
    </row>
    <row r="39" spans="2:19" ht="54" x14ac:dyDescent="0.25">
      <c r="B39" s="22" t="s">
        <v>463</v>
      </c>
      <c r="C39" s="139">
        <v>3949891.74</v>
      </c>
      <c r="D39" s="139"/>
      <c r="E39" s="179"/>
      <c r="F39" s="179"/>
      <c r="G39" s="179"/>
      <c r="H39" s="179">
        <v>-2808263.44</v>
      </c>
      <c r="I39" s="179">
        <f>0-C39</f>
        <v>-3949891.74</v>
      </c>
      <c r="J39" s="179">
        <v>-3949891.74</v>
      </c>
      <c r="K39" s="52">
        <f t="shared" si="0"/>
        <v>1141628.3000000003</v>
      </c>
      <c r="L39" s="52">
        <f t="shared" si="0"/>
        <v>-3949891.74</v>
      </c>
      <c r="M39" s="52">
        <f t="shared" si="0"/>
        <v>-3949891.74</v>
      </c>
      <c r="N39" s="23"/>
      <c r="O39" s="23"/>
      <c r="P39" s="23"/>
      <c r="Q39" s="177">
        <f>K39+N39</f>
        <v>1141628.3000000003</v>
      </c>
      <c r="R39" s="177">
        <f>L39+O39</f>
        <v>-3949891.74</v>
      </c>
      <c r="S39" s="177">
        <f t="shared" si="1"/>
        <v>-3949891.74</v>
      </c>
    </row>
    <row r="40" spans="2:19" ht="28.5" x14ac:dyDescent="0.25">
      <c r="B40" s="18" t="s">
        <v>73</v>
      </c>
      <c r="C40" s="139">
        <f>SUM(C35:C39)</f>
        <v>4311791.1790000005</v>
      </c>
      <c r="D40" s="22"/>
      <c r="E40" s="19">
        <f>SUM(E35:E39)</f>
        <v>0</v>
      </c>
      <c r="F40" s="19">
        <f t="shared" ref="F40:I40" si="2">SUM(F35:F39)</f>
        <v>0</v>
      </c>
      <c r="G40" s="19">
        <f t="shared" si="2"/>
        <v>0</v>
      </c>
      <c r="H40" s="176">
        <f t="shared" si="2"/>
        <v>12031557.503</v>
      </c>
      <c r="I40" s="176">
        <f t="shared" si="2"/>
        <v>16463958.265999997</v>
      </c>
      <c r="J40" s="176">
        <f>SUM(J35:J39)</f>
        <v>16825857.704999998</v>
      </c>
      <c r="K40" s="52">
        <f>C40+E40+H40</f>
        <v>16343348.682</v>
      </c>
      <c r="L40" s="52">
        <f>C40+F40+I40</f>
        <v>20775749.444999997</v>
      </c>
      <c r="M40" s="52">
        <f>C40+G40+J40</f>
        <v>21137648.884</v>
      </c>
      <c r="N40" s="4" t="s">
        <v>2</v>
      </c>
      <c r="O40" s="4" t="s">
        <v>2</v>
      </c>
      <c r="P40" s="4" t="s">
        <v>2</v>
      </c>
      <c r="Q40" s="177" t="s">
        <v>2</v>
      </c>
      <c r="R40" s="177" t="s">
        <v>2</v>
      </c>
      <c r="S40" s="177" t="s">
        <v>2</v>
      </c>
    </row>
    <row r="41" spans="2:19" ht="28.5" x14ac:dyDescent="0.25">
      <c r="B41" s="18" t="s">
        <v>60</v>
      </c>
      <c r="C41" s="22"/>
      <c r="D41" s="22"/>
      <c r="E41" s="19" t="s">
        <v>72</v>
      </c>
      <c r="F41" s="19" t="s">
        <v>72</v>
      </c>
      <c r="G41" s="19" t="s">
        <v>72</v>
      </c>
      <c r="H41" s="19" t="s">
        <v>72</v>
      </c>
      <c r="I41" s="19" t="s">
        <v>72</v>
      </c>
      <c r="J41" s="19" t="s">
        <v>72</v>
      </c>
      <c r="K41" s="52">
        <f>C41</f>
        <v>0</v>
      </c>
      <c r="L41" s="52">
        <f>C41</f>
        <v>0</v>
      </c>
      <c r="M41" s="52">
        <f>C41</f>
        <v>0</v>
      </c>
      <c r="N41" s="4" t="s">
        <v>2</v>
      </c>
      <c r="O41" s="4" t="s">
        <v>2</v>
      </c>
      <c r="P41" s="4" t="s">
        <v>2</v>
      </c>
      <c r="Q41" s="177" t="s">
        <v>2</v>
      </c>
      <c r="R41" s="177" t="s">
        <v>2</v>
      </c>
      <c r="S41" s="177" t="s">
        <v>2</v>
      </c>
    </row>
    <row r="42" spans="2:19" x14ac:dyDescent="0.25">
      <c r="B42" s="246" t="s">
        <v>698</v>
      </c>
      <c r="C42" s="259">
        <f>SUM(C35:C39)</f>
        <v>4311791.1790000005</v>
      </c>
      <c r="D42" s="255">
        <f>SUM(D35:D39)</f>
        <v>0</v>
      </c>
      <c r="E42" s="255">
        <f>E40</f>
        <v>0</v>
      </c>
      <c r="F42" s="255">
        <f t="shared" ref="F42:I42" si="3">F40</f>
        <v>0</v>
      </c>
      <c r="G42" s="255">
        <f t="shared" si="3"/>
        <v>0</v>
      </c>
      <c r="H42" s="294">
        <f>H40</f>
        <v>12031557.503</v>
      </c>
      <c r="I42" s="259">
        <f t="shared" si="3"/>
        <v>16463958.265999997</v>
      </c>
      <c r="J42" s="294">
        <f>J40</f>
        <v>16825857.704999998</v>
      </c>
      <c r="K42" s="260">
        <f>K40+K41</f>
        <v>16343348.682</v>
      </c>
      <c r="L42" s="260">
        <f t="shared" ref="L42" si="4">L40+L41</f>
        <v>20775749.444999997</v>
      </c>
      <c r="M42" s="260">
        <f>M40+M41</f>
        <v>21137648.884</v>
      </c>
      <c r="N42" s="4">
        <f>SUM(N35:N39)</f>
        <v>0</v>
      </c>
      <c r="O42" s="4">
        <f t="shared" ref="O42:P42" si="5">SUM(O35:O39)</f>
        <v>0</v>
      </c>
      <c r="P42" s="4">
        <f t="shared" si="5"/>
        <v>0</v>
      </c>
      <c r="Q42" s="295">
        <f>K42+N42</f>
        <v>16343348.682</v>
      </c>
      <c r="R42" s="295">
        <f>L42+O42</f>
        <v>20775749.444999997</v>
      </c>
      <c r="S42" s="295">
        <f>M42+P42</f>
        <v>21137648.884</v>
      </c>
    </row>
    <row r="44" spans="2:19" ht="18.75" x14ac:dyDescent="0.3">
      <c r="B44" s="316" t="s">
        <v>740</v>
      </c>
      <c r="C44" s="84"/>
    </row>
    <row r="45" spans="2:19" x14ac:dyDescent="0.25">
      <c r="C45" s="84"/>
    </row>
    <row r="46" spans="2:19" x14ac:dyDescent="0.25">
      <c r="D46" s="86">
        <v>8233900</v>
      </c>
    </row>
  </sheetData>
  <mergeCells count="13">
    <mergeCell ref="K17:K18"/>
    <mergeCell ref="B17:B18"/>
    <mergeCell ref="C17:C18"/>
    <mergeCell ref="D17:D18"/>
    <mergeCell ref="E17:E18"/>
    <mergeCell ref="F17:J17"/>
    <mergeCell ref="Q33:S33"/>
    <mergeCell ref="B29:E29"/>
    <mergeCell ref="B33:B34"/>
    <mergeCell ref="E33:G33"/>
    <mergeCell ref="H33:J33"/>
    <mergeCell ref="K33:M33"/>
    <mergeCell ref="N33:P33"/>
  </mergeCells>
  <dataValidations count="4">
    <dataValidation type="custom" allowBlank="1" showInputMessage="1" showErrorMessage="1" sqref="N35:P39" xr:uid="{D6A22435-E9DB-4D68-83B6-FCB6B82BB7EB}">
      <formula1>"-"</formula1>
    </dataValidation>
    <dataValidation type="list" allowBlank="1" showInputMessage="1" showErrorMessage="1" sqref="B13" xr:uid="{0A3D02D9-A584-48FF-A9B0-0BBBCE312F57}">
      <formula1>$U$2:$U$4</formula1>
    </dataValidation>
    <dataValidation type="list" allowBlank="1" showInputMessage="1" showErrorMessage="1" sqref="D19" xr:uid="{EE945471-1D13-46E5-BF94-EBB067C81C4F}">
      <formula1>$V$2:$V$3</formula1>
    </dataValidation>
    <dataValidation showInputMessage="1" showErrorMessage="1" sqref="E19" xr:uid="{6B5FCDF9-EC72-4A24-B7BF-D4E2F6988EBE}"/>
  </dataValidations>
  <hyperlinks>
    <hyperlink ref="C12" location="_ftn1" display="_ftn1" xr:uid="{ED87E1EE-35B5-44AE-AD29-463F0C15B06B}"/>
    <hyperlink ref="D12" location="_ftn2" display="_ftn2" xr:uid="{F54436B6-4BFC-43D4-A171-AAD53956C18E}"/>
    <hyperlink ref="E12" location="_ftn3" display="_ftn3" xr:uid="{5F780DB2-BD96-42E2-A027-CCF88444499B}"/>
  </hyperlink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85725</xdr:colOff>
                    <xdr:row>25</xdr:row>
                    <xdr:rowOff>0</xdr:rowOff>
                  </from>
                  <to>
                    <xdr:col>2</xdr:col>
                    <xdr:colOff>628650</xdr:colOff>
                    <xdr:row>26</xdr:row>
                    <xdr:rowOff>38100</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xdr:col>
                    <xdr:colOff>85725</xdr:colOff>
                    <xdr:row>22</xdr:row>
                    <xdr:rowOff>171450</xdr:rowOff>
                  </from>
                  <to>
                    <xdr:col>2</xdr:col>
                    <xdr:colOff>1381125</xdr:colOff>
                    <xdr:row>24</xdr:row>
                    <xdr:rowOff>47625</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1</xdr:col>
                    <xdr:colOff>85725</xdr:colOff>
                    <xdr:row>24</xdr:row>
                    <xdr:rowOff>28575</xdr:rowOff>
                  </from>
                  <to>
                    <xdr:col>2</xdr:col>
                    <xdr:colOff>1381125</xdr:colOff>
                    <xdr:row>25</xdr:row>
                    <xdr:rowOff>9525</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1</xdr:col>
                    <xdr:colOff>95250</xdr:colOff>
                    <xdr:row>26</xdr:row>
                    <xdr:rowOff>9525</xdr:rowOff>
                  </from>
                  <to>
                    <xdr:col>2</xdr:col>
                    <xdr:colOff>28575</xdr:colOff>
                    <xdr:row>27</xdr:row>
                    <xdr:rowOff>9525</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0FAE-B518-458A-90CE-69BB22082139}">
  <dimension ref="A1:W88"/>
  <sheetViews>
    <sheetView topLeftCell="C1" workbookViewId="0">
      <selection activeCell="C70" sqref="A1:XFD1048576"/>
    </sheetView>
  </sheetViews>
  <sheetFormatPr defaultRowHeight="15" x14ac:dyDescent="0.25"/>
  <cols>
    <col min="1" max="1" width="6" customWidth="1"/>
    <col min="2" max="2" width="34.85546875" customWidth="1"/>
    <col min="3" max="3" width="28.140625" customWidth="1"/>
    <col min="4" max="4" width="30.28515625" customWidth="1"/>
    <col min="5" max="5" width="30.140625" customWidth="1"/>
    <col min="6" max="6" width="16.28515625" customWidth="1"/>
    <col min="7" max="7" width="17.7109375" customWidth="1"/>
    <col min="8" max="8" width="14.85546875" customWidth="1"/>
    <col min="9" max="9" width="13.42578125" customWidth="1"/>
    <col min="10" max="10" width="13.28515625" customWidth="1"/>
    <col min="11" max="11" width="66.42578125" customWidth="1"/>
    <col min="12" max="12" width="12.7109375" customWidth="1"/>
    <col min="13" max="13" width="12.140625" customWidth="1"/>
    <col min="14" max="14" width="9.5703125" customWidth="1"/>
    <col min="15" max="15" width="8.140625" customWidth="1"/>
    <col min="16" max="16" width="8" customWidth="1"/>
    <col min="17" max="17" width="15" customWidth="1"/>
    <col min="18" max="18" width="12.5703125" customWidth="1"/>
    <col min="19" max="19" width="14" customWidth="1"/>
    <col min="21" max="21" width="1.42578125" customWidth="1"/>
    <col min="22" max="22" width="4.5703125" customWidth="1"/>
    <col min="23" max="23" width="5.42578125"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1116</v>
      </c>
      <c r="E5" s="25" t="s">
        <v>83</v>
      </c>
      <c r="F5" s="29">
        <v>2007</v>
      </c>
      <c r="H5" s="3"/>
      <c r="I5" s="3"/>
      <c r="J5" s="3"/>
    </row>
    <row r="6" spans="1:23" ht="27.75" customHeight="1" x14ac:dyDescent="0.25">
      <c r="B6" s="25" t="s">
        <v>80</v>
      </c>
      <c r="C6" s="20" t="s">
        <v>180</v>
      </c>
      <c r="E6" s="25" t="s">
        <v>84</v>
      </c>
      <c r="F6" s="20" t="s">
        <v>132</v>
      </c>
      <c r="H6" s="3"/>
      <c r="I6" s="3"/>
      <c r="J6" s="3"/>
    </row>
    <row r="7" spans="1:23" ht="18" customHeight="1" x14ac:dyDescent="0.25">
      <c r="B7" s="25" t="s">
        <v>81</v>
      </c>
      <c r="C7" s="20">
        <v>11001</v>
      </c>
      <c r="H7" s="3"/>
      <c r="I7" s="3"/>
      <c r="J7" s="3"/>
    </row>
    <row r="8" spans="1:23" ht="27" customHeight="1" x14ac:dyDescent="0.25">
      <c r="B8" s="25" t="s">
        <v>82</v>
      </c>
      <c r="C8" s="53" t="s">
        <v>181</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69" x14ac:dyDescent="0.25">
      <c r="B12" s="10" t="s">
        <v>85</v>
      </c>
      <c r="C12" s="28" t="s">
        <v>86</v>
      </c>
      <c r="D12" s="28" t="s">
        <v>87</v>
      </c>
      <c r="E12" s="28" t="s">
        <v>88</v>
      </c>
      <c r="F12" s="3"/>
      <c r="G12" s="3"/>
      <c r="H12" s="3"/>
      <c r="I12" s="3"/>
      <c r="J12" s="3"/>
    </row>
    <row r="13" spans="1:23" ht="68.25" x14ac:dyDescent="0.3">
      <c r="B13" s="31" t="s">
        <v>43</v>
      </c>
      <c r="C13" s="54" t="s">
        <v>182</v>
      </c>
      <c r="D13" s="32" t="s">
        <v>183</v>
      </c>
      <c r="E13" s="32" t="s">
        <v>184</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2:11" ht="15" customHeight="1" x14ac:dyDescent="0.25">
      <c r="B17" s="365" t="s">
        <v>89</v>
      </c>
      <c r="C17" s="365" t="s">
        <v>90</v>
      </c>
      <c r="D17" s="365" t="s">
        <v>91</v>
      </c>
      <c r="E17" s="365" t="s">
        <v>92</v>
      </c>
      <c r="F17" s="364" t="s">
        <v>93</v>
      </c>
      <c r="G17" s="364"/>
      <c r="H17" s="364"/>
      <c r="I17" s="364"/>
      <c r="J17" s="364"/>
      <c r="K17" s="364" t="s">
        <v>94</v>
      </c>
    </row>
    <row r="18" spans="2:11" ht="30" customHeight="1" x14ac:dyDescent="0.25">
      <c r="B18" s="365"/>
      <c r="C18" s="365"/>
      <c r="D18" s="365"/>
      <c r="E18" s="365"/>
      <c r="F18" s="27" t="s">
        <v>51</v>
      </c>
      <c r="G18" s="27" t="s">
        <v>52</v>
      </c>
      <c r="H18" s="27" t="s">
        <v>0</v>
      </c>
      <c r="I18" s="27" t="s">
        <v>1</v>
      </c>
      <c r="J18" s="27" t="s">
        <v>3</v>
      </c>
      <c r="K18" s="364"/>
    </row>
    <row r="19" spans="2:11" ht="100.5" customHeight="1" x14ac:dyDescent="0.25">
      <c r="B19" s="44" t="s">
        <v>185</v>
      </c>
      <c r="C19" s="44" t="s">
        <v>111</v>
      </c>
      <c r="D19" s="44" t="s">
        <v>44</v>
      </c>
      <c r="E19" s="44"/>
      <c r="F19" s="55">
        <v>170</v>
      </c>
      <c r="G19" s="55">
        <v>200</v>
      </c>
      <c r="H19" s="55">
        <v>200</v>
      </c>
      <c r="I19" s="55">
        <v>200</v>
      </c>
      <c r="J19" s="55">
        <v>200</v>
      </c>
      <c r="K19" s="45" t="s">
        <v>186</v>
      </c>
    </row>
    <row r="20" spans="2:11" ht="83.25" customHeight="1" x14ac:dyDescent="0.25">
      <c r="B20" s="44" t="s">
        <v>187</v>
      </c>
      <c r="C20" s="44" t="s">
        <v>117</v>
      </c>
      <c r="D20" s="44" t="s">
        <v>47</v>
      </c>
      <c r="E20" s="44"/>
      <c r="F20" s="56">
        <v>4887032.5999999996</v>
      </c>
      <c r="G20" s="56">
        <v>4424598.9000000004</v>
      </c>
      <c r="H20" s="56">
        <v>5045273.8</v>
      </c>
      <c r="I20" s="56">
        <v>5691314.2000000002</v>
      </c>
      <c r="J20" s="56">
        <v>5691314.2000000002</v>
      </c>
      <c r="K20" s="45" t="s">
        <v>188</v>
      </c>
    </row>
    <row r="21" spans="2:11" x14ac:dyDescent="0.25">
      <c r="B21" s="368" t="s">
        <v>189</v>
      </c>
      <c r="C21" s="44" t="s">
        <v>111</v>
      </c>
      <c r="D21" s="44" t="s">
        <v>44</v>
      </c>
      <c r="E21" s="44"/>
      <c r="F21" s="57">
        <v>200</v>
      </c>
      <c r="G21" s="56">
        <v>0</v>
      </c>
      <c r="H21" s="56">
        <v>0</v>
      </c>
      <c r="I21" s="56">
        <v>0</v>
      </c>
      <c r="J21" s="56">
        <v>0</v>
      </c>
      <c r="K21" s="366" t="s">
        <v>190</v>
      </c>
    </row>
    <row r="22" spans="2:11" x14ac:dyDescent="0.25">
      <c r="B22" s="369"/>
      <c r="C22" s="44" t="s">
        <v>191</v>
      </c>
      <c r="D22" s="44" t="s">
        <v>47</v>
      </c>
      <c r="E22" s="58" t="s">
        <v>192</v>
      </c>
      <c r="F22" s="57">
        <v>24860</v>
      </c>
      <c r="G22" s="57">
        <v>0</v>
      </c>
      <c r="H22" s="57">
        <v>0</v>
      </c>
      <c r="I22" s="57">
        <v>0</v>
      </c>
      <c r="J22" s="57">
        <v>0</v>
      </c>
      <c r="K22" s="389"/>
    </row>
    <row r="23" spans="2:11" ht="18.75" customHeight="1" x14ac:dyDescent="0.25">
      <c r="B23" s="368" t="s">
        <v>193</v>
      </c>
      <c r="C23" s="44" t="s">
        <v>111</v>
      </c>
      <c r="D23" s="44" t="s">
        <v>44</v>
      </c>
      <c r="E23" s="44"/>
      <c r="F23" s="57">
        <v>153133</v>
      </c>
      <c r="G23" s="56">
        <v>0</v>
      </c>
      <c r="H23" s="56">
        <v>0</v>
      </c>
      <c r="I23" s="56">
        <v>0</v>
      </c>
      <c r="J23" s="56">
        <v>0</v>
      </c>
      <c r="K23" s="389"/>
    </row>
    <row r="24" spans="2:11" ht="18" customHeight="1" x14ac:dyDescent="0.25">
      <c r="B24" s="369"/>
      <c r="C24" s="44" t="s">
        <v>117</v>
      </c>
      <c r="D24" s="44" t="s">
        <v>47</v>
      </c>
      <c r="E24" s="44" t="s">
        <v>192</v>
      </c>
      <c r="F24" s="57">
        <v>5</v>
      </c>
      <c r="G24" s="56">
        <v>0</v>
      </c>
      <c r="H24" s="56">
        <v>0</v>
      </c>
      <c r="I24" s="56">
        <v>0</v>
      </c>
      <c r="J24" s="56">
        <v>0</v>
      </c>
      <c r="K24" s="367"/>
    </row>
    <row r="25" spans="2:11" ht="18.75" customHeight="1" x14ac:dyDescent="0.25">
      <c r="B25" s="368" t="s">
        <v>194</v>
      </c>
      <c r="C25" s="44" t="s">
        <v>111</v>
      </c>
      <c r="D25" s="44" t="s">
        <v>44</v>
      </c>
      <c r="E25" s="44"/>
      <c r="F25" s="57">
        <v>300</v>
      </c>
      <c r="G25" s="55">
        <v>400</v>
      </c>
      <c r="H25" s="55">
        <v>400</v>
      </c>
      <c r="I25" s="55">
        <v>400</v>
      </c>
      <c r="J25" s="55">
        <v>400</v>
      </c>
      <c r="K25" s="32" t="s">
        <v>195</v>
      </c>
    </row>
    <row r="26" spans="2:11" ht="24" customHeight="1" x14ac:dyDescent="0.25">
      <c r="B26" s="369"/>
      <c r="C26" s="44" t="s">
        <v>191</v>
      </c>
      <c r="D26" s="44" t="s">
        <v>47</v>
      </c>
      <c r="E26" s="44" t="s">
        <v>192</v>
      </c>
      <c r="F26" s="57">
        <v>4220</v>
      </c>
      <c r="G26" s="55">
        <v>4060</v>
      </c>
      <c r="H26" s="55">
        <v>3660</v>
      </c>
      <c r="I26" s="55">
        <v>3660</v>
      </c>
      <c r="J26" s="55">
        <v>3660</v>
      </c>
      <c r="K26" s="59"/>
    </row>
    <row r="27" spans="2:11" ht="15" customHeight="1" x14ac:dyDescent="0.25">
      <c r="B27" s="368" t="s">
        <v>196</v>
      </c>
      <c r="C27" s="44" t="s">
        <v>111</v>
      </c>
      <c r="D27" s="44" t="s">
        <v>44</v>
      </c>
      <c r="E27" s="44"/>
      <c r="F27" s="57">
        <v>400</v>
      </c>
      <c r="G27" s="60">
        <v>0</v>
      </c>
      <c r="H27" s="60">
        <v>0</v>
      </c>
      <c r="I27" s="60">
        <v>0</v>
      </c>
      <c r="J27" s="60">
        <v>0</v>
      </c>
      <c r="K27" s="366" t="s">
        <v>197</v>
      </c>
    </row>
    <row r="28" spans="2:11" x14ac:dyDescent="0.25">
      <c r="B28" s="369"/>
      <c r="C28" s="44" t="s">
        <v>191</v>
      </c>
      <c r="D28" s="44" t="s">
        <v>47</v>
      </c>
      <c r="E28" s="58" t="s">
        <v>192</v>
      </c>
      <c r="F28" s="57">
        <v>3320</v>
      </c>
      <c r="G28" s="60">
        <v>0</v>
      </c>
      <c r="H28" s="60">
        <v>0</v>
      </c>
      <c r="I28" s="60">
        <v>0</v>
      </c>
      <c r="J28" s="60">
        <v>0</v>
      </c>
      <c r="K28" s="367"/>
    </row>
    <row r="29" spans="2:11" ht="19.5" customHeight="1" x14ac:dyDescent="0.25">
      <c r="B29" s="368" t="s">
        <v>198</v>
      </c>
      <c r="C29" s="44" t="s">
        <v>111</v>
      </c>
      <c r="D29" s="44" t="s">
        <v>44</v>
      </c>
      <c r="E29" s="61"/>
      <c r="F29" s="56">
        <v>111.3</v>
      </c>
      <c r="G29" s="56">
        <v>111.3</v>
      </c>
      <c r="H29" s="56">
        <v>111.3</v>
      </c>
      <c r="I29" s="56">
        <v>111.3</v>
      </c>
      <c r="J29" s="56">
        <v>111.3</v>
      </c>
      <c r="K29" s="62"/>
    </row>
    <row r="30" spans="2:11" ht="153.75" customHeight="1" x14ac:dyDescent="0.25">
      <c r="B30" s="369"/>
      <c r="C30" s="44" t="s">
        <v>191</v>
      </c>
      <c r="D30" s="44" t="s">
        <v>47</v>
      </c>
      <c r="E30" s="44" t="s">
        <v>199</v>
      </c>
      <c r="F30" s="55">
        <v>3800000</v>
      </c>
      <c r="G30" s="55">
        <v>1688880</v>
      </c>
      <c r="H30" s="55">
        <v>3664400</v>
      </c>
      <c r="I30" s="55">
        <v>3664400</v>
      </c>
      <c r="J30" s="55">
        <v>3664400</v>
      </c>
      <c r="K30" s="45" t="s">
        <v>200</v>
      </c>
    </row>
    <row r="31" spans="2:11" ht="21" customHeight="1" x14ac:dyDescent="0.25">
      <c r="B31" s="368" t="s">
        <v>201</v>
      </c>
      <c r="C31" s="44" t="s">
        <v>111</v>
      </c>
      <c r="D31" s="44" t="s">
        <v>44</v>
      </c>
      <c r="E31" s="61"/>
      <c r="F31" s="56">
        <v>13.5</v>
      </c>
      <c r="G31" s="56">
        <v>13.5</v>
      </c>
      <c r="H31" s="56">
        <v>13.5</v>
      </c>
      <c r="I31" s="56">
        <v>13.5</v>
      </c>
      <c r="J31" s="56">
        <v>13.5</v>
      </c>
      <c r="K31" s="62"/>
    </row>
    <row r="32" spans="2:11" ht="27" customHeight="1" x14ac:dyDescent="0.25">
      <c r="B32" s="369"/>
      <c r="C32" s="44" t="s">
        <v>191</v>
      </c>
      <c r="D32" s="44" t="s">
        <v>47</v>
      </c>
      <c r="E32" s="44" t="s">
        <v>199</v>
      </c>
      <c r="F32" s="55">
        <v>1041450</v>
      </c>
      <c r="G32" s="55">
        <v>1003900</v>
      </c>
      <c r="H32" s="55">
        <v>914900</v>
      </c>
      <c r="I32" s="55">
        <v>914900</v>
      </c>
      <c r="J32" s="55">
        <v>914900</v>
      </c>
      <c r="K32" s="45" t="s">
        <v>202</v>
      </c>
    </row>
    <row r="33" spans="1:11" ht="21.75" customHeight="1" x14ac:dyDescent="0.25">
      <c r="B33" s="368" t="s">
        <v>203</v>
      </c>
      <c r="C33" s="44" t="s">
        <v>111</v>
      </c>
      <c r="D33" s="44" t="s">
        <v>44</v>
      </c>
      <c r="E33" s="61"/>
      <c r="F33" s="56">
        <v>10.8</v>
      </c>
      <c r="G33" s="56">
        <v>10.8</v>
      </c>
      <c r="H33" s="56">
        <v>10.8</v>
      </c>
      <c r="I33" s="56">
        <v>10.8</v>
      </c>
      <c r="J33" s="56">
        <v>10.8</v>
      </c>
      <c r="K33" s="62"/>
    </row>
    <row r="34" spans="1:11" ht="44.25" customHeight="1" x14ac:dyDescent="0.25">
      <c r="B34" s="369"/>
      <c r="C34" s="44" t="s">
        <v>191</v>
      </c>
      <c r="D34" s="44" t="s">
        <v>47</v>
      </c>
      <c r="E34" s="44" t="s">
        <v>199</v>
      </c>
      <c r="F34" s="55">
        <v>2256450</v>
      </c>
      <c r="G34" s="55">
        <v>2060000</v>
      </c>
      <c r="H34" s="55">
        <v>1884700</v>
      </c>
      <c r="I34" s="55">
        <v>1884700</v>
      </c>
      <c r="J34" s="55">
        <v>1884700</v>
      </c>
      <c r="K34" s="45" t="s">
        <v>204</v>
      </c>
    </row>
    <row r="35" spans="1:11" ht="21.75" customHeight="1" x14ac:dyDescent="0.25">
      <c r="B35" s="368" t="s">
        <v>205</v>
      </c>
      <c r="C35" s="44" t="s">
        <v>111</v>
      </c>
      <c r="D35" s="44" t="s">
        <v>44</v>
      </c>
      <c r="E35" s="61"/>
      <c r="F35" s="56">
        <v>20.5</v>
      </c>
      <c r="G35" s="56">
        <v>20.5</v>
      </c>
      <c r="H35" s="56">
        <v>20.5</v>
      </c>
      <c r="I35" s="56">
        <v>20.5</v>
      </c>
      <c r="J35" s="56">
        <v>20.5</v>
      </c>
      <c r="K35" s="63"/>
    </row>
    <row r="36" spans="1:11" ht="96.75" customHeight="1" x14ac:dyDescent="0.25">
      <c r="B36" s="369"/>
      <c r="C36" s="44" t="s">
        <v>191</v>
      </c>
      <c r="D36" s="44" t="s">
        <v>47</v>
      </c>
      <c r="E36" s="44" t="s">
        <v>199</v>
      </c>
      <c r="F36" s="55">
        <v>2386550</v>
      </c>
      <c r="G36" s="55">
        <v>2386550</v>
      </c>
      <c r="H36" s="55">
        <v>5254400</v>
      </c>
      <c r="I36" s="55">
        <v>5254400</v>
      </c>
      <c r="J36" s="55">
        <v>5254400</v>
      </c>
      <c r="K36" s="64" t="s">
        <v>206</v>
      </c>
    </row>
    <row r="37" spans="1:11" ht="19.5" customHeight="1" x14ac:dyDescent="0.25">
      <c r="B37" s="368" t="s">
        <v>207</v>
      </c>
      <c r="C37" s="44" t="s">
        <v>111</v>
      </c>
      <c r="D37" s="44" t="s">
        <v>44</v>
      </c>
      <c r="E37" s="44"/>
      <c r="F37" s="55">
        <v>650</v>
      </c>
      <c r="G37" s="55">
        <v>650</v>
      </c>
      <c r="H37" s="55">
        <v>650</v>
      </c>
      <c r="I37" s="55">
        <v>650</v>
      </c>
      <c r="J37" s="55">
        <v>650</v>
      </c>
      <c r="K37" s="22"/>
    </row>
    <row r="38" spans="1:11" ht="17.25" customHeight="1" x14ac:dyDescent="0.25">
      <c r="B38" s="369"/>
      <c r="C38" s="44" t="s">
        <v>208</v>
      </c>
      <c r="D38" s="44" t="s">
        <v>47</v>
      </c>
      <c r="E38" s="44"/>
      <c r="F38" s="55">
        <v>1000</v>
      </c>
      <c r="G38" s="55">
        <v>1000</v>
      </c>
      <c r="H38" s="55">
        <v>1000</v>
      </c>
      <c r="I38" s="55">
        <v>1000</v>
      </c>
      <c r="J38" s="55">
        <v>1000</v>
      </c>
      <c r="K38" s="22"/>
    </row>
    <row r="39" spans="1:11" ht="31.5" customHeight="1" x14ac:dyDescent="0.25">
      <c r="B39" s="368" t="s">
        <v>209</v>
      </c>
      <c r="C39" s="44" t="s">
        <v>111</v>
      </c>
      <c r="D39" s="44" t="s">
        <v>44</v>
      </c>
      <c r="E39" s="44"/>
      <c r="F39" s="55">
        <v>300</v>
      </c>
      <c r="G39" s="55">
        <v>700</v>
      </c>
      <c r="H39" s="55">
        <v>700</v>
      </c>
      <c r="I39" s="55">
        <v>700</v>
      </c>
      <c r="J39" s="55">
        <v>700</v>
      </c>
      <c r="K39" s="45" t="s">
        <v>210</v>
      </c>
    </row>
    <row r="40" spans="1:11" ht="17.25" customHeight="1" x14ac:dyDescent="0.25">
      <c r="B40" s="369"/>
      <c r="C40" s="44" t="s">
        <v>208</v>
      </c>
      <c r="D40" s="44" t="s">
        <v>47</v>
      </c>
      <c r="E40" s="44"/>
      <c r="F40" s="55">
        <v>1000</v>
      </c>
      <c r="G40" s="55">
        <v>1000</v>
      </c>
      <c r="H40" s="55">
        <v>1000</v>
      </c>
      <c r="I40" s="55">
        <v>1000</v>
      </c>
      <c r="J40" s="55">
        <v>1000</v>
      </c>
      <c r="K40" s="31"/>
    </row>
    <row r="41" spans="1:11" ht="30" customHeight="1" x14ac:dyDescent="0.25">
      <c r="B41" s="368" t="s">
        <v>211</v>
      </c>
      <c r="C41" s="44" t="s">
        <v>111</v>
      </c>
      <c r="D41" s="44" t="s">
        <v>44</v>
      </c>
      <c r="E41" s="44"/>
      <c r="F41" s="55">
        <v>350</v>
      </c>
      <c r="G41" s="55">
        <v>500</v>
      </c>
      <c r="H41" s="55">
        <v>500</v>
      </c>
      <c r="I41" s="55">
        <v>500</v>
      </c>
      <c r="J41" s="55">
        <v>500</v>
      </c>
      <c r="K41" s="45" t="s">
        <v>210</v>
      </c>
    </row>
    <row r="42" spans="1:11" ht="15" customHeight="1" x14ac:dyDescent="0.25">
      <c r="B42" s="369"/>
      <c r="C42" s="44" t="s">
        <v>208</v>
      </c>
      <c r="D42" s="44" t="s">
        <v>47</v>
      </c>
      <c r="E42" s="44"/>
      <c r="F42" s="55">
        <v>1000</v>
      </c>
      <c r="G42" s="55">
        <v>1000</v>
      </c>
      <c r="H42" s="55">
        <v>1000</v>
      </c>
      <c r="I42" s="55">
        <v>1000</v>
      </c>
      <c r="J42" s="55">
        <v>1000</v>
      </c>
      <c r="K42" s="31"/>
    </row>
    <row r="43" spans="1:11" ht="17.25" x14ac:dyDescent="0.25">
      <c r="B43" s="3"/>
      <c r="C43" s="3"/>
      <c r="D43" s="3"/>
      <c r="E43" s="3"/>
      <c r="F43" s="3"/>
      <c r="G43" s="3"/>
      <c r="H43" s="3"/>
      <c r="I43" s="3"/>
      <c r="J43" s="3"/>
    </row>
    <row r="44" spans="1:11" ht="15.75" x14ac:dyDescent="0.25">
      <c r="A44" s="12" t="s">
        <v>53</v>
      </c>
      <c r="C44" s="13"/>
      <c r="D44" s="13"/>
      <c r="E44" s="13"/>
      <c r="F44" s="13"/>
      <c r="G44" s="13"/>
      <c r="H44" s="13"/>
      <c r="I44" s="13"/>
      <c r="J44" s="13"/>
    </row>
    <row r="45" spans="1:11" x14ac:dyDescent="0.25">
      <c r="A45" s="14"/>
      <c r="C45" s="15"/>
      <c r="D45" s="15"/>
      <c r="E45" s="15"/>
      <c r="F45" s="15"/>
      <c r="G45" s="15"/>
      <c r="H45" s="15"/>
      <c r="I45" s="15"/>
      <c r="J45" s="15"/>
    </row>
    <row r="46" spans="1:11" x14ac:dyDescent="0.25">
      <c r="A46" s="16" t="s">
        <v>54</v>
      </c>
      <c r="C46" s="17"/>
      <c r="D46" s="17"/>
      <c r="E46" s="13"/>
      <c r="F46" s="13"/>
      <c r="G46" s="13"/>
      <c r="H46" s="13"/>
      <c r="I46" s="13"/>
      <c r="J46" s="13"/>
    </row>
    <row r="47" spans="1:11" x14ac:dyDescent="0.25">
      <c r="B47" s="17"/>
      <c r="C47" s="17"/>
      <c r="D47" s="17"/>
      <c r="E47" s="13"/>
      <c r="F47" s="13"/>
      <c r="G47" s="13"/>
      <c r="H47" s="65"/>
      <c r="I47" s="13"/>
      <c r="J47" s="13"/>
    </row>
    <row r="48" spans="1:11" x14ac:dyDescent="0.25">
      <c r="B48" s="17"/>
      <c r="C48" s="17"/>
      <c r="D48" s="17"/>
      <c r="E48" s="13"/>
      <c r="F48" s="13"/>
      <c r="G48" s="66"/>
      <c r="H48" s="13"/>
      <c r="I48" s="13"/>
      <c r="J48" s="13"/>
    </row>
    <row r="49" spans="1:19" x14ac:dyDescent="0.25">
      <c r="B49" s="17"/>
      <c r="C49" s="17"/>
      <c r="D49" s="17"/>
      <c r="E49" s="13"/>
      <c r="F49" s="13"/>
      <c r="G49" s="67"/>
      <c r="H49" s="68"/>
      <c r="I49" s="13"/>
      <c r="J49" s="13"/>
    </row>
    <row r="50" spans="1:19" x14ac:dyDescent="0.25">
      <c r="B50" s="17"/>
      <c r="C50" s="17"/>
      <c r="D50" s="17"/>
      <c r="E50" s="13"/>
      <c r="F50" s="13"/>
      <c r="G50" s="13"/>
      <c r="H50" s="13"/>
      <c r="I50" s="13"/>
      <c r="J50" s="13"/>
    </row>
    <row r="51" spans="1:19" x14ac:dyDescent="0.25">
      <c r="A51" s="16" t="s">
        <v>55</v>
      </c>
      <c r="E51" s="13"/>
      <c r="F51" s="13"/>
      <c r="G51" s="13"/>
      <c r="H51" s="13"/>
      <c r="I51" s="13"/>
      <c r="J51" s="13"/>
    </row>
    <row r="52" spans="1:19" ht="62.25" customHeight="1" x14ac:dyDescent="0.25">
      <c r="B52" s="360"/>
      <c r="C52" s="361"/>
      <c r="D52" s="361"/>
      <c r="E52" s="362"/>
      <c r="F52" s="13"/>
      <c r="G52" s="68"/>
      <c r="H52" s="68"/>
      <c r="I52" s="13"/>
      <c r="J52" s="13"/>
    </row>
    <row r="53" spans="1:19" ht="17.25" x14ac:dyDescent="0.25">
      <c r="B53" s="3"/>
      <c r="C53" s="3"/>
      <c r="D53" s="3"/>
      <c r="E53" s="13"/>
      <c r="F53" s="13"/>
      <c r="G53" s="13"/>
      <c r="H53" s="13"/>
      <c r="I53" s="13"/>
      <c r="J53" s="13"/>
    </row>
    <row r="54" spans="1:19" x14ac:dyDescent="0.25">
      <c r="A54" s="7" t="s">
        <v>56</v>
      </c>
    </row>
    <row r="56" spans="1:19" ht="43.5" customHeight="1" x14ac:dyDescent="0.25">
      <c r="B56" s="363" t="s">
        <v>95</v>
      </c>
      <c r="C56" s="4" t="s">
        <v>96</v>
      </c>
      <c r="D56" s="4" t="s">
        <v>97</v>
      </c>
      <c r="E56" s="358" t="s">
        <v>98</v>
      </c>
      <c r="F56" s="358"/>
      <c r="G56" s="358"/>
      <c r="H56" s="358" t="s">
        <v>99</v>
      </c>
      <c r="I56" s="358"/>
      <c r="J56" s="358"/>
      <c r="K56" s="358" t="s">
        <v>100</v>
      </c>
      <c r="L56" s="358"/>
      <c r="M56" s="358"/>
      <c r="N56" s="358" t="s">
        <v>101</v>
      </c>
      <c r="O56" s="358"/>
      <c r="P56" s="358"/>
      <c r="Q56" s="359" t="s">
        <v>102</v>
      </c>
      <c r="R56" s="359"/>
      <c r="S56" s="359"/>
    </row>
    <row r="57" spans="1:19" ht="30" customHeight="1" x14ac:dyDescent="0.25">
      <c r="B57" s="363"/>
      <c r="C57" s="4" t="s">
        <v>35</v>
      </c>
      <c r="D57" s="4" t="s">
        <v>36</v>
      </c>
      <c r="E57" s="19" t="s">
        <v>0</v>
      </c>
      <c r="F57" s="19" t="s">
        <v>1</v>
      </c>
      <c r="G57" s="19" t="s">
        <v>3</v>
      </c>
      <c r="H57" s="19" t="s">
        <v>0</v>
      </c>
      <c r="I57" s="19" t="s">
        <v>1</v>
      </c>
      <c r="J57" s="19" t="s">
        <v>3</v>
      </c>
      <c r="K57" s="19" t="s">
        <v>39</v>
      </c>
      <c r="L57" s="19" t="s">
        <v>38</v>
      </c>
      <c r="M57" s="19" t="s">
        <v>37</v>
      </c>
      <c r="N57" s="19" t="s">
        <v>39</v>
      </c>
      <c r="O57" s="19" t="s">
        <v>38</v>
      </c>
      <c r="P57" s="19" t="s">
        <v>37</v>
      </c>
      <c r="Q57" s="26" t="s">
        <v>0</v>
      </c>
      <c r="R57" s="26" t="s">
        <v>1</v>
      </c>
      <c r="S57" s="26" t="s">
        <v>3</v>
      </c>
    </row>
    <row r="58" spans="1:19" ht="20.25" customHeight="1" x14ac:dyDescent="0.25">
      <c r="B58" s="22" t="s">
        <v>212</v>
      </c>
      <c r="C58" s="39">
        <v>830795.5</v>
      </c>
      <c r="D58" s="51">
        <v>884919.78</v>
      </c>
      <c r="E58" s="40">
        <f>(F20*0.2)-C58</f>
        <v>146611.02000000002</v>
      </c>
      <c r="F58" s="40">
        <f>(F20*0.2)-C58</f>
        <v>146611.02000000002</v>
      </c>
      <c r="G58" s="40">
        <f>(F20*0.2)-C58</f>
        <v>146611.02000000002</v>
      </c>
      <c r="H58" s="69">
        <f>(H20-F20)*0.2</f>
        <v>31648.240000000038</v>
      </c>
      <c r="I58" s="69">
        <f>(H20-F20)*0.2</f>
        <v>31648.240000000038</v>
      </c>
      <c r="J58" s="69">
        <f>(H20-F20)*0.2</f>
        <v>31648.240000000038</v>
      </c>
      <c r="K58" s="41">
        <f>C58+E58+H58</f>
        <v>1009054.76</v>
      </c>
      <c r="L58" s="41">
        <f>C58+F58+I58</f>
        <v>1009054.76</v>
      </c>
      <c r="M58" s="52">
        <f>C58+G58+J58</f>
        <v>1009054.76</v>
      </c>
      <c r="N58" s="23"/>
      <c r="O58" s="23"/>
      <c r="P58" s="23"/>
      <c r="Q58" s="70">
        <f t="shared" ref="Q58:S59" si="0">K58+N58</f>
        <v>1009054.76</v>
      </c>
      <c r="R58" s="70">
        <f t="shared" si="0"/>
        <v>1009054.76</v>
      </c>
      <c r="S58" s="70">
        <f t="shared" si="0"/>
        <v>1009054.76</v>
      </c>
    </row>
    <row r="59" spans="1:19" ht="20.25" customHeight="1" x14ac:dyDescent="0.25">
      <c r="B59" s="22" t="s">
        <v>213</v>
      </c>
      <c r="C59" s="51">
        <v>166159.1</v>
      </c>
      <c r="D59" s="39">
        <v>176983.9</v>
      </c>
      <c r="E59" s="71" t="s">
        <v>72</v>
      </c>
      <c r="F59" s="71" t="s">
        <v>72</v>
      </c>
      <c r="G59" s="71" t="s">
        <v>72</v>
      </c>
      <c r="H59" s="71" t="s">
        <v>72</v>
      </c>
      <c r="I59" s="71" t="s">
        <v>72</v>
      </c>
      <c r="J59" s="71" t="s">
        <v>72</v>
      </c>
      <c r="K59" s="41">
        <f>K58*20/100</f>
        <v>201810.95199999999</v>
      </c>
      <c r="L59" s="41">
        <f t="shared" ref="L59:M59" si="1">L58*20/100</f>
        <v>201810.95199999999</v>
      </c>
      <c r="M59" s="52">
        <f t="shared" si="1"/>
        <v>201810.95199999999</v>
      </c>
      <c r="N59" s="23"/>
      <c r="O59" s="23"/>
      <c r="P59" s="23"/>
      <c r="Q59" s="70">
        <f t="shared" si="0"/>
        <v>201810.95199999999</v>
      </c>
      <c r="R59" s="70">
        <f t="shared" si="0"/>
        <v>201810.95199999999</v>
      </c>
      <c r="S59" s="70">
        <f t="shared" si="0"/>
        <v>201810.95199999999</v>
      </c>
    </row>
    <row r="60" spans="1:19" ht="27" customHeight="1" x14ac:dyDescent="0.25">
      <c r="B60" s="44" t="s">
        <v>214</v>
      </c>
      <c r="C60" s="72">
        <v>4972</v>
      </c>
      <c r="D60" s="39">
        <v>0</v>
      </c>
      <c r="E60" s="73">
        <f>-C60</f>
        <v>-4972</v>
      </c>
      <c r="F60" s="73">
        <f>-C60</f>
        <v>-4972</v>
      </c>
      <c r="G60" s="73">
        <f>-C60</f>
        <v>-4972</v>
      </c>
      <c r="H60" s="74"/>
      <c r="I60" s="73"/>
      <c r="J60" s="73"/>
      <c r="K60" s="41">
        <f t="shared" ref="K60:L70" si="2">C60+E60+H60</f>
        <v>0</v>
      </c>
      <c r="L60" s="41">
        <f>K60</f>
        <v>0</v>
      </c>
      <c r="M60" s="75">
        <f>L60</f>
        <v>0</v>
      </c>
      <c r="N60" s="23"/>
      <c r="O60" s="23"/>
      <c r="P60" s="23"/>
      <c r="Q60" s="76">
        <f t="shared" ref="Q60:S70" si="3">K60+N60</f>
        <v>0</v>
      </c>
      <c r="R60" s="26">
        <f t="shared" si="3"/>
        <v>0</v>
      </c>
      <c r="S60" s="26">
        <f t="shared" si="3"/>
        <v>0</v>
      </c>
    </row>
    <row r="61" spans="1:19" ht="27" x14ac:dyDescent="0.25">
      <c r="B61" s="44" t="s">
        <v>215</v>
      </c>
      <c r="C61" s="39">
        <v>1266</v>
      </c>
      <c r="D61" s="39">
        <v>1624</v>
      </c>
      <c r="E61" s="40">
        <v>198</v>
      </c>
      <c r="F61" s="40">
        <v>198000</v>
      </c>
      <c r="G61" s="40">
        <v>198000</v>
      </c>
      <c r="H61" s="40"/>
      <c r="I61" s="77"/>
      <c r="J61" s="77"/>
      <c r="K61" s="41">
        <f t="shared" si="2"/>
        <v>1464</v>
      </c>
      <c r="L61" s="78">
        <f t="shared" ref="L61:L65" si="4">K61</f>
        <v>1464</v>
      </c>
      <c r="M61" s="78">
        <f t="shared" ref="M61:M67" si="5">K61</f>
        <v>1464</v>
      </c>
      <c r="N61" s="23"/>
      <c r="O61" s="23"/>
      <c r="P61" s="23"/>
      <c r="Q61" s="76">
        <f t="shared" si="3"/>
        <v>1464</v>
      </c>
      <c r="R61" s="26">
        <f t="shared" si="3"/>
        <v>1464</v>
      </c>
      <c r="S61" s="26">
        <f t="shared" si="3"/>
        <v>1464</v>
      </c>
    </row>
    <row r="62" spans="1:19" ht="27" x14ac:dyDescent="0.25">
      <c r="B62" s="44" t="s">
        <v>216</v>
      </c>
      <c r="C62" s="39">
        <v>1328</v>
      </c>
      <c r="D62" s="79">
        <v>0</v>
      </c>
      <c r="E62" s="80">
        <f>-C62</f>
        <v>-1328</v>
      </c>
      <c r="F62" s="73">
        <f>-C62</f>
        <v>-1328</v>
      </c>
      <c r="G62" s="73">
        <f>-C62</f>
        <v>-1328</v>
      </c>
      <c r="H62" s="74"/>
      <c r="I62" s="73"/>
      <c r="J62" s="73"/>
      <c r="K62" s="41">
        <f t="shared" si="2"/>
        <v>0</v>
      </c>
      <c r="L62" s="41">
        <f t="shared" si="4"/>
        <v>0</v>
      </c>
      <c r="M62" s="81">
        <f t="shared" si="5"/>
        <v>0</v>
      </c>
      <c r="N62" s="23"/>
      <c r="O62" s="23"/>
      <c r="P62" s="23"/>
      <c r="Q62" s="76">
        <f t="shared" si="3"/>
        <v>0</v>
      </c>
      <c r="R62" s="26">
        <f t="shared" si="3"/>
        <v>0</v>
      </c>
      <c r="S62" s="26">
        <f t="shared" si="3"/>
        <v>0</v>
      </c>
    </row>
    <row r="63" spans="1:19" ht="40.5" x14ac:dyDescent="0.25">
      <c r="B63" s="44" t="s">
        <v>217</v>
      </c>
      <c r="C63" s="39">
        <v>765.66</v>
      </c>
      <c r="D63" s="79">
        <v>0</v>
      </c>
      <c r="E63" s="73">
        <f>-C63</f>
        <v>-765.66</v>
      </c>
      <c r="F63" s="73">
        <f>-C63</f>
        <v>-765.66</v>
      </c>
      <c r="G63" s="73">
        <f>-C63</f>
        <v>-765.66</v>
      </c>
      <c r="H63" s="74"/>
      <c r="I63" s="73"/>
      <c r="J63" s="73"/>
      <c r="K63" s="41">
        <f t="shared" si="2"/>
        <v>0</v>
      </c>
      <c r="L63" s="78">
        <f t="shared" si="4"/>
        <v>0</v>
      </c>
      <c r="M63" s="81">
        <f t="shared" si="5"/>
        <v>0</v>
      </c>
      <c r="N63" s="23"/>
      <c r="O63" s="23"/>
      <c r="P63" s="23"/>
      <c r="Q63" s="43">
        <f t="shared" si="3"/>
        <v>0</v>
      </c>
      <c r="R63" s="43">
        <f t="shared" si="3"/>
        <v>0</v>
      </c>
      <c r="S63" s="43">
        <f t="shared" si="3"/>
        <v>0</v>
      </c>
    </row>
    <row r="64" spans="1:19" ht="32.25" customHeight="1" x14ac:dyDescent="0.25">
      <c r="B64" s="44" t="s">
        <v>218</v>
      </c>
      <c r="C64" s="39">
        <v>422940</v>
      </c>
      <c r="D64" s="39">
        <v>187972.3</v>
      </c>
      <c r="E64" s="80">
        <v>0</v>
      </c>
      <c r="F64" s="80">
        <v>0</v>
      </c>
      <c r="G64" s="80">
        <v>0</v>
      </c>
      <c r="H64" s="40">
        <f>(H30-F30)*0.1113</f>
        <v>-15092.279999999999</v>
      </c>
      <c r="I64" s="40">
        <f>(I30-F30)*0.1113</f>
        <v>-15092.279999999999</v>
      </c>
      <c r="J64" s="40">
        <f>(J30-F30)*0.1113</f>
        <v>-15092.279999999999</v>
      </c>
      <c r="K64" s="41">
        <f t="shared" si="2"/>
        <v>407847.72</v>
      </c>
      <c r="L64" s="41">
        <f t="shared" si="4"/>
        <v>407847.72</v>
      </c>
      <c r="M64" s="41">
        <f t="shared" si="5"/>
        <v>407847.72</v>
      </c>
      <c r="N64" s="23"/>
      <c r="O64" s="23"/>
      <c r="P64" s="23"/>
      <c r="Q64" s="43">
        <f t="shared" si="3"/>
        <v>407847.72</v>
      </c>
      <c r="R64" s="43">
        <f t="shared" si="3"/>
        <v>407847.72</v>
      </c>
      <c r="S64" s="43">
        <f t="shared" si="3"/>
        <v>407847.72</v>
      </c>
    </row>
    <row r="65" spans="2:19" ht="40.5" x14ac:dyDescent="0.25">
      <c r="B65" s="44" t="s">
        <v>219</v>
      </c>
      <c r="C65" s="39">
        <v>14059.57</v>
      </c>
      <c r="D65" s="39">
        <v>13552.6</v>
      </c>
      <c r="E65" s="80">
        <v>0</v>
      </c>
      <c r="F65" s="80">
        <v>0</v>
      </c>
      <c r="G65" s="80">
        <v>0</v>
      </c>
      <c r="H65" s="40">
        <f>(H32-F32)*0.0135</f>
        <v>-1708.425</v>
      </c>
      <c r="I65" s="40">
        <f>(I32-F32)*0.0135</f>
        <v>-1708.425</v>
      </c>
      <c r="J65" s="40">
        <f>(J32-F32)*0.0135</f>
        <v>-1708.425</v>
      </c>
      <c r="K65" s="52">
        <f t="shared" si="2"/>
        <v>12351.145</v>
      </c>
      <c r="L65" s="52">
        <f t="shared" si="4"/>
        <v>12351.145</v>
      </c>
      <c r="M65" s="41">
        <f t="shared" si="5"/>
        <v>12351.145</v>
      </c>
      <c r="N65" s="23"/>
      <c r="O65" s="23"/>
      <c r="P65" s="23"/>
      <c r="Q65" s="43">
        <f t="shared" si="3"/>
        <v>12351.145</v>
      </c>
      <c r="R65" s="43">
        <f t="shared" si="3"/>
        <v>12351.145</v>
      </c>
      <c r="S65" s="43">
        <f t="shared" si="3"/>
        <v>12351.145</v>
      </c>
    </row>
    <row r="66" spans="2:19" ht="27" x14ac:dyDescent="0.25">
      <c r="B66" s="44" t="s">
        <v>220</v>
      </c>
      <c r="C66" s="39">
        <v>24369.66</v>
      </c>
      <c r="D66" s="39">
        <v>22248</v>
      </c>
      <c r="E66" s="80">
        <v>0</v>
      </c>
      <c r="F66" s="80">
        <v>0</v>
      </c>
      <c r="G66" s="80">
        <v>0</v>
      </c>
      <c r="H66" s="40">
        <f>-(F34-H34)*0.0108</f>
        <v>-4014.9</v>
      </c>
      <c r="I66" s="40">
        <v>-4014.9</v>
      </c>
      <c r="J66" s="40">
        <v>-4014.9</v>
      </c>
      <c r="K66" s="41">
        <f>C66+E66+H66</f>
        <v>20354.759999999998</v>
      </c>
      <c r="L66" s="41">
        <f>C66+F66+I66</f>
        <v>20354.759999999998</v>
      </c>
      <c r="M66" s="41">
        <f t="shared" si="5"/>
        <v>20354.759999999998</v>
      </c>
      <c r="N66" s="23"/>
      <c r="O66" s="23"/>
      <c r="P66" s="23"/>
      <c r="Q66" s="43">
        <f t="shared" si="3"/>
        <v>20354.759999999998</v>
      </c>
      <c r="R66" s="43">
        <f t="shared" si="3"/>
        <v>20354.759999999998</v>
      </c>
      <c r="S66" s="43">
        <f t="shared" si="3"/>
        <v>20354.759999999998</v>
      </c>
    </row>
    <row r="67" spans="2:19" ht="67.5" x14ac:dyDescent="0.25">
      <c r="B67" s="44" t="s">
        <v>221</v>
      </c>
      <c r="C67" s="39">
        <v>48924.27</v>
      </c>
      <c r="D67" s="39">
        <v>48924.2</v>
      </c>
      <c r="E67" s="80">
        <v>0</v>
      </c>
      <c r="F67" s="80">
        <v>0</v>
      </c>
      <c r="G67" s="80">
        <v>0</v>
      </c>
      <c r="H67" s="40">
        <f>(H36-F36)*0.0205</f>
        <v>58790.925000000003</v>
      </c>
      <c r="I67" s="73">
        <f>(I36-F36)*0.0205</f>
        <v>58790.925000000003</v>
      </c>
      <c r="J67" s="73">
        <f>(J36-F36)*0.0205</f>
        <v>58790.925000000003</v>
      </c>
      <c r="K67" s="41">
        <f>C67+E67+H67</f>
        <v>107715.19500000001</v>
      </c>
      <c r="L67" s="41">
        <f>C67+F67+I67</f>
        <v>107715.19500000001</v>
      </c>
      <c r="M67" s="41">
        <f t="shared" si="5"/>
        <v>107715.19500000001</v>
      </c>
      <c r="N67" s="23"/>
      <c r="O67" s="23"/>
      <c r="P67" s="23"/>
      <c r="Q67" s="43">
        <f t="shared" si="3"/>
        <v>107715.19500000001</v>
      </c>
      <c r="R67" s="43">
        <f t="shared" si="3"/>
        <v>107715.19500000001</v>
      </c>
      <c r="S67" s="43">
        <f t="shared" si="3"/>
        <v>107715.19500000001</v>
      </c>
    </row>
    <row r="68" spans="2:19" ht="40.5" x14ac:dyDescent="0.25">
      <c r="B68" s="44" t="s">
        <v>222</v>
      </c>
      <c r="C68" s="39">
        <v>650</v>
      </c>
      <c r="D68" s="39">
        <v>650</v>
      </c>
      <c r="E68" s="80">
        <v>0</v>
      </c>
      <c r="F68" s="80">
        <v>0</v>
      </c>
      <c r="G68" s="80">
        <v>0</v>
      </c>
      <c r="H68" s="74">
        <v>0</v>
      </c>
      <c r="I68" s="74">
        <v>0</v>
      </c>
      <c r="J68" s="74">
        <v>0</v>
      </c>
      <c r="K68" s="41">
        <f t="shared" si="2"/>
        <v>650</v>
      </c>
      <c r="L68" s="41">
        <f t="shared" si="2"/>
        <v>650</v>
      </c>
      <c r="M68" s="41">
        <f>L68</f>
        <v>650</v>
      </c>
      <c r="N68" s="23"/>
      <c r="O68" s="23"/>
      <c r="P68" s="23"/>
      <c r="Q68" s="43">
        <f t="shared" si="3"/>
        <v>650</v>
      </c>
      <c r="R68" s="43">
        <f t="shared" si="3"/>
        <v>650</v>
      </c>
      <c r="S68" s="43">
        <f t="shared" si="3"/>
        <v>650</v>
      </c>
    </row>
    <row r="69" spans="2:19" ht="40.5" x14ac:dyDescent="0.25">
      <c r="B69" s="44" t="s">
        <v>223</v>
      </c>
      <c r="C69" s="39">
        <v>300</v>
      </c>
      <c r="D69" s="39">
        <v>700</v>
      </c>
      <c r="E69" s="73">
        <f>(F40*0.7)-C69</f>
        <v>400</v>
      </c>
      <c r="F69" s="73">
        <f>E69</f>
        <v>400</v>
      </c>
      <c r="G69" s="73">
        <f>E69</f>
        <v>400</v>
      </c>
      <c r="H69" s="74">
        <v>0</v>
      </c>
      <c r="I69" s="74">
        <v>0</v>
      </c>
      <c r="J69" s="74">
        <v>0</v>
      </c>
      <c r="K69" s="41">
        <f>C69+E69+H69</f>
        <v>700</v>
      </c>
      <c r="L69" s="41">
        <v>700</v>
      </c>
      <c r="M69" s="41">
        <v>700</v>
      </c>
      <c r="N69" s="23"/>
      <c r="O69" s="23"/>
      <c r="P69" s="23"/>
      <c r="Q69" s="43">
        <f t="shared" si="3"/>
        <v>700</v>
      </c>
      <c r="R69" s="43">
        <f t="shared" si="3"/>
        <v>700</v>
      </c>
      <c r="S69" s="43">
        <f t="shared" si="3"/>
        <v>700</v>
      </c>
    </row>
    <row r="70" spans="2:19" ht="33" customHeight="1" x14ac:dyDescent="0.25">
      <c r="B70" s="44" t="s">
        <v>224</v>
      </c>
      <c r="C70" s="39">
        <v>350</v>
      </c>
      <c r="D70" s="39">
        <v>500</v>
      </c>
      <c r="E70" s="73">
        <f>(F42*0.5)-C70</f>
        <v>150</v>
      </c>
      <c r="F70" s="23"/>
      <c r="G70" s="23"/>
      <c r="H70" s="74">
        <v>0</v>
      </c>
      <c r="I70" s="74">
        <v>0</v>
      </c>
      <c r="J70" s="74">
        <v>0</v>
      </c>
      <c r="K70" s="41">
        <f t="shared" si="2"/>
        <v>500</v>
      </c>
      <c r="L70" s="41">
        <f t="shared" si="2"/>
        <v>500</v>
      </c>
      <c r="M70" s="41">
        <v>500</v>
      </c>
      <c r="N70" s="23"/>
      <c r="O70" s="23"/>
      <c r="P70" s="23"/>
      <c r="Q70" s="43">
        <f t="shared" si="3"/>
        <v>500</v>
      </c>
      <c r="R70" s="43">
        <f t="shared" si="3"/>
        <v>500</v>
      </c>
      <c r="S70" s="43">
        <f t="shared" si="3"/>
        <v>500</v>
      </c>
    </row>
    <row r="71" spans="2:19" ht="28.5" x14ac:dyDescent="0.25">
      <c r="B71" s="18" t="s">
        <v>73</v>
      </c>
      <c r="C71" s="39">
        <f>C58+C60+C64+C65+C66+C67+C68</f>
        <v>1346711</v>
      </c>
      <c r="D71" s="39">
        <f>D58+D60+D61+D62+D63+D64+D65+D66+D67+D68+D69+D70</f>
        <v>1161090.8800000001</v>
      </c>
      <c r="E71" s="41">
        <f>E58+E60+E61+E62+E63+E64+E65+E67+E66+E68+E69+E70</f>
        <v>140293.36000000002</v>
      </c>
      <c r="F71" s="41">
        <f t="shared" ref="F71:J71" si="6">SUM(F58:F62)</f>
        <v>338311.02</v>
      </c>
      <c r="G71" s="41">
        <f t="shared" si="6"/>
        <v>338311.02</v>
      </c>
      <c r="H71" s="52">
        <f>SUM(H58:H70)</f>
        <v>69623.560000000041</v>
      </c>
      <c r="I71" s="52">
        <f t="shared" si="6"/>
        <v>31648.240000000038</v>
      </c>
      <c r="J71" s="52">
        <f t="shared" si="6"/>
        <v>31648.240000000038</v>
      </c>
      <c r="K71" s="41">
        <f>K58+K61+K64+K65+K66+K67+K68+K69+K70</f>
        <v>1560637.58</v>
      </c>
      <c r="L71" s="41">
        <f>L58+L61+L64+L65+L66+L67+L68+L69+L70</f>
        <v>1560637.58</v>
      </c>
      <c r="M71" s="41">
        <f t="shared" ref="M71" si="7">M58+M61+M64+M65+M66+M67+M68+M69+M70</f>
        <v>1560637.58</v>
      </c>
      <c r="N71" s="4" t="s">
        <v>2</v>
      </c>
      <c r="O71" s="4" t="s">
        <v>2</v>
      </c>
      <c r="P71" s="4" t="s">
        <v>2</v>
      </c>
      <c r="Q71" s="26" t="s">
        <v>2</v>
      </c>
      <c r="R71" s="26" t="s">
        <v>2</v>
      </c>
      <c r="S71" s="26" t="s">
        <v>2</v>
      </c>
    </row>
    <row r="72" spans="2:19" ht="28.5" x14ac:dyDescent="0.25">
      <c r="B72" s="18" t="s">
        <v>60</v>
      </c>
      <c r="C72" s="51">
        <f>C59</f>
        <v>166159.1</v>
      </c>
      <c r="D72" s="51">
        <v>176983.95</v>
      </c>
      <c r="E72" s="19" t="s">
        <v>72</v>
      </c>
      <c r="F72" s="19" t="s">
        <v>72</v>
      </c>
      <c r="G72" s="19" t="s">
        <v>72</v>
      </c>
      <c r="H72" s="19" t="s">
        <v>72</v>
      </c>
      <c r="I72" s="19" t="s">
        <v>72</v>
      </c>
      <c r="J72" s="19" t="s">
        <v>72</v>
      </c>
      <c r="K72" s="41">
        <f>K59</f>
        <v>201810.95199999999</v>
      </c>
      <c r="L72" s="52">
        <f t="shared" ref="L72:M72" si="8">L59</f>
        <v>201810.95199999999</v>
      </c>
      <c r="M72" s="41">
        <f t="shared" si="8"/>
        <v>201810.95199999999</v>
      </c>
      <c r="N72" s="4" t="s">
        <v>2</v>
      </c>
      <c r="O72" s="4" t="s">
        <v>2</v>
      </c>
      <c r="P72" s="4" t="s">
        <v>2</v>
      </c>
      <c r="Q72" s="26" t="s">
        <v>2</v>
      </c>
      <c r="R72" s="26" t="s">
        <v>2</v>
      </c>
      <c r="S72" s="26" t="s">
        <v>2</v>
      </c>
    </row>
    <row r="73" spans="2:19" ht="30" customHeight="1" x14ac:dyDescent="0.25">
      <c r="B73" s="18" t="s">
        <v>61</v>
      </c>
      <c r="C73" s="41">
        <f>C71+C72</f>
        <v>1512870.1</v>
      </c>
      <c r="D73" s="75">
        <f>D71+D72</f>
        <v>1338074.83</v>
      </c>
      <c r="E73" s="41">
        <f>E71</f>
        <v>140293.36000000002</v>
      </c>
      <c r="F73" s="41">
        <f t="shared" ref="F73:J73" si="9">F71</f>
        <v>338311.02</v>
      </c>
      <c r="G73" s="41">
        <f t="shared" si="9"/>
        <v>338311.02</v>
      </c>
      <c r="H73" s="41">
        <f t="shared" si="9"/>
        <v>69623.560000000041</v>
      </c>
      <c r="I73" s="41">
        <f t="shared" si="9"/>
        <v>31648.240000000038</v>
      </c>
      <c r="J73" s="41">
        <f t="shared" si="9"/>
        <v>31648.240000000038</v>
      </c>
      <c r="K73" s="82">
        <f>K71+K72</f>
        <v>1762448.5320000001</v>
      </c>
      <c r="L73" s="42">
        <f t="shared" ref="L73:M73" si="10">L71+L72</f>
        <v>1762448.5320000001</v>
      </c>
      <c r="M73" s="42">
        <f t="shared" si="10"/>
        <v>1762448.5320000001</v>
      </c>
      <c r="N73" s="4">
        <f>SUM(N58:N62)</f>
        <v>0</v>
      </c>
      <c r="O73" s="4">
        <f t="shared" ref="O73:P73" si="11">SUM(O58:O62)</f>
        <v>0</v>
      </c>
      <c r="P73" s="4">
        <f t="shared" si="11"/>
        <v>0</v>
      </c>
      <c r="Q73" s="70">
        <f>K73+N73</f>
        <v>1762448.5320000001</v>
      </c>
      <c r="R73" s="70">
        <f>L73+O73</f>
        <v>1762448.5320000001</v>
      </c>
      <c r="S73" s="70">
        <f>M73+P73</f>
        <v>1762448.5320000001</v>
      </c>
    </row>
    <row r="75" spans="2:19" x14ac:dyDescent="0.25">
      <c r="C75" s="83"/>
      <c r="E75" s="84"/>
      <c r="K75" s="84"/>
    </row>
    <row r="76" spans="2:19" x14ac:dyDescent="0.25">
      <c r="C76" s="83"/>
      <c r="D76" s="85"/>
      <c r="E76" s="84"/>
    </row>
    <row r="77" spans="2:19" x14ac:dyDescent="0.25">
      <c r="C77" s="83"/>
      <c r="D77" s="86"/>
      <c r="E77" s="84"/>
    </row>
    <row r="78" spans="2:19" x14ac:dyDescent="0.25">
      <c r="C78" s="83"/>
      <c r="D78" s="85"/>
      <c r="E78" s="84"/>
      <c r="H78" s="84"/>
    </row>
    <row r="79" spans="2:19" x14ac:dyDescent="0.25">
      <c r="C79" s="83"/>
      <c r="D79" s="85"/>
    </row>
    <row r="80" spans="2:19" x14ac:dyDescent="0.25">
      <c r="C80" s="83"/>
      <c r="D80" s="85"/>
    </row>
    <row r="81" spans="3:3" x14ac:dyDescent="0.25">
      <c r="C81" s="83"/>
    </row>
    <row r="82" spans="3:3" x14ac:dyDescent="0.25">
      <c r="C82" s="83"/>
    </row>
    <row r="83" spans="3:3" x14ac:dyDescent="0.25">
      <c r="C83" s="83"/>
    </row>
    <row r="84" spans="3:3" x14ac:dyDescent="0.25">
      <c r="C84" s="83"/>
    </row>
    <row r="85" spans="3:3" x14ac:dyDescent="0.25">
      <c r="C85" s="83"/>
    </row>
    <row r="86" spans="3:3" x14ac:dyDescent="0.25">
      <c r="C86" s="83"/>
    </row>
    <row r="87" spans="3:3" x14ac:dyDescent="0.25">
      <c r="C87" s="83"/>
    </row>
    <row r="88" spans="3:3" x14ac:dyDescent="0.25">
      <c r="C88" s="83"/>
    </row>
  </sheetData>
  <mergeCells count="26">
    <mergeCell ref="N56:P56"/>
    <mergeCell ref="Q56:S56"/>
    <mergeCell ref="B41:B42"/>
    <mergeCell ref="B52:E52"/>
    <mergeCell ref="B56:B57"/>
    <mergeCell ref="E56:G56"/>
    <mergeCell ref="H56:J56"/>
    <mergeCell ref="K56:M56"/>
    <mergeCell ref="B39:B40"/>
    <mergeCell ref="B21:B22"/>
    <mergeCell ref="K21:K24"/>
    <mergeCell ref="B23:B24"/>
    <mergeCell ref="B25:B26"/>
    <mergeCell ref="B27:B28"/>
    <mergeCell ref="K27:K28"/>
    <mergeCell ref="B29:B30"/>
    <mergeCell ref="B31:B32"/>
    <mergeCell ref="B33:B34"/>
    <mergeCell ref="B35:B36"/>
    <mergeCell ref="B37:B38"/>
    <mergeCell ref="K17:K18"/>
    <mergeCell ref="B17:B18"/>
    <mergeCell ref="C17:C18"/>
    <mergeCell ref="D17:D18"/>
    <mergeCell ref="E17:E18"/>
    <mergeCell ref="F17:J17"/>
  </mergeCells>
  <dataValidations count="4">
    <dataValidation type="list" allowBlank="1" showInputMessage="1" showErrorMessage="1" sqref="D19:D42" xr:uid="{8314073F-D2C3-47A6-AD62-64851C12A158}">
      <formula1>$V$2:$V$3</formula1>
    </dataValidation>
    <dataValidation showInputMessage="1" showErrorMessage="1" sqref="E19:E26 E28 E30 E32 E34 E36" xr:uid="{139C66F3-0D62-433A-B136-31836BEA5535}"/>
    <dataValidation type="custom" allowBlank="1" showInputMessage="1" showErrorMessage="1" sqref="N58:P70" xr:uid="{01484B5D-A8C7-45D0-9499-743DC65C76DD}">
      <formula1>"-"</formula1>
    </dataValidation>
    <dataValidation type="list" allowBlank="1" showInputMessage="1" showErrorMessage="1" sqref="B13" xr:uid="{B4F33DBF-EB93-4418-8693-3C68BE04F1B7}">
      <formula1>$U$2:$U$4</formula1>
    </dataValidation>
  </dataValidations>
  <hyperlinks>
    <hyperlink ref="C12" location="_ftn1" display="_ftn1" xr:uid="{D21E6DE3-E0FC-492D-9F49-FA2F808E8372}"/>
    <hyperlink ref="D12" location="_ftn2" display="_ftn2" xr:uid="{6019F1A2-EF6C-46AA-A19B-CD238036ED5D}"/>
    <hyperlink ref="E12" location="_ftn3" display="_ftn3" xr:uid="{B8923E66-A4FE-4087-B239-F99CA8ACF299}"/>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1</xdr:col>
                    <xdr:colOff>85725</xdr:colOff>
                    <xdr:row>48</xdr:row>
                    <xdr:rowOff>0</xdr:rowOff>
                  </from>
                  <to>
                    <xdr:col>2</xdr:col>
                    <xdr:colOff>1057275</xdr:colOff>
                    <xdr:row>49</xdr:row>
                    <xdr:rowOff>38100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1</xdr:col>
                    <xdr:colOff>85725</xdr:colOff>
                    <xdr:row>45</xdr:row>
                    <xdr:rowOff>171450</xdr:rowOff>
                  </from>
                  <to>
                    <xdr:col>2</xdr:col>
                    <xdr:colOff>1809750</xdr:colOff>
                    <xdr:row>47</xdr:row>
                    <xdr:rowOff>47625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xdr:col>
                    <xdr:colOff>85725</xdr:colOff>
                    <xdr:row>47</xdr:row>
                    <xdr:rowOff>28575</xdr:rowOff>
                  </from>
                  <to>
                    <xdr:col>2</xdr:col>
                    <xdr:colOff>1809750</xdr:colOff>
                    <xdr:row>48</xdr:row>
                    <xdr:rowOff>9525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xdr:col>
                    <xdr:colOff>95250</xdr:colOff>
                    <xdr:row>49</xdr:row>
                    <xdr:rowOff>9525</xdr:rowOff>
                  </from>
                  <to>
                    <xdr:col>2</xdr:col>
                    <xdr:colOff>457200</xdr:colOff>
                    <xdr:row>50</xdr:row>
                    <xdr:rowOff>9525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xdr:col>
                    <xdr:colOff>85725</xdr:colOff>
                    <xdr:row>48</xdr:row>
                    <xdr:rowOff>0</xdr:rowOff>
                  </from>
                  <to>
                    <xdr:col>2</xdr:col>
                    <xdr:colOff>1057275</xdr:colOff>
                    <xdr:row>49</xdr:row>
                    <xdr:rowOff>28575</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xdr:col>
                    <xdr:colOff>85725</xdr:colOff>
                    <xdr:row>45</xdr:row>
                    <xdr:rowOff>171450</xdr:rowOff>
                  </from>
                  <to>
                    <xdr:col>2</xdr:col>
                    <xdr:colOff>1809750</xdr:colOff>
                    <xdr:row>47</xdr:row>
                    <xdr:rowOff>28575</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1</xdr:col>
                    <xdr:colOff>85725</xdr:colOff>
                    <xdr:row>47</xdr:row>
                    <xdr:rowOff>28575</xdr:rowOff>
                  </from>
                  <to>
                    <xdr:col>2</xdr:col>
                    <xdr:colOff>1809750</xdr:colOff>
                    <xdr:row>48</xdr:row>
                    <xdr:rowOff>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1</xdr:col>
                    <xdr:colOff>95250</xdr:colOff>
                    <xdr:row>49</xdr:row>
                    <xdr:rowOff>9525</xdr:rowOff>
                  </from>
                  <to>
                    <xdr:col>2</xdr:col>
                    <xdr:colOff>457200</xdr:colOff>
                    <xdr:row>50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85"/>
  <sheetViews>
    <sheetView topLeftCell="A76" zoomScaleNormal="100" workbookViewId="0">
      <selection activeCell="G89" sqref="G89"/>
    </sheetView>
  </sheetViews>
  <sheetFormatPr defaultRowHeight="15" x14ac:dyDescent="0.25"/>
  <cols>
    <col min="1" max="1" width="6" customWidth="1"/>
    <col min="2" max="2" width="34.42578125" customWidth="1"/>
    <col min="3" max="3" width="27.28515625" customWidth="1"/>
    <col min="4" max="4" width="19.140625" customWidth="1"/>
    <col min="5" max="5" width="17.140625" customWidth="1"/>
    <col min="6" max="6" width="15.85546875" customWidth="1"/>
    <col min="7" max="7" width="14.28515625" customWidth="1"/>
    <col min="8" max="8" width="13" customWidth="1"/>
    <col min="9" max="9" width="10.42578125" customWidth="1"/>
    <col min="10" max="10" width="14" customWidth="1"/>
    <col min="11" max="11" width="34.42578125" customWidth="1"/>
    <col min="12" max="12" width="11.7109375" customWidth="1"/>
    <col min="13" max="13" width="11" bestFit="1" customWidth="1"/>
    <col min="14" max="14" width="9.5703125" customWidth="1"/>
    <col min="15" max="15" width="8.140625" customWidth="1"/>
    <col min="16" max="16" width="8" customWidth="1"/>
    <col min="17" max="19" width="11"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42" customHeight="1" x14ac:dyDescent="0.25">
      <c r="B5" s="25" t="s">
        <v>79</v>
      </c>
      <c r="C5" s="20">
        <v>1022</v>
      </c>
      <c r="E5" s="25" t="s">
        <v>83</v>
      </c>
      <c r="F5" s="20">
        <v>2020</v>
      </c>
      <c r="H5" s="3"/>
      <c r="I5" s="3"/>
      <c r="J5" s="3"/>
    </row>
    <row r="6" spans="1:23" ht="53.25" customHeight="1" x14ac:dyDescent="0.25">
      <c r="B6" s="25" t="s">
        <v>80</v>
      </c>
      <c r="C6" s="29" t="s">
        <v>103</v>
      </c>
      <c r="E6" s="25" t="s">
        <v>84</v>
      </c>
      <c r="F6" s="20" t="s">
        <v>132</v>
      </c>
      <c r="H6" s="3"/>
      <c r="I6" s="3"/>
      <c r="J6" s="3"/>
    </row>
    <row r="7" spans="1:23" ht="18" customHeight="1" x14ac:dyDescent="0.25">
      <c r="B7" s="25" t="s">
        <v>81</v>
      </c>
      <c r="C7" s="20">
        <v>11002</v>
      </c>
      <c r="H7" s="3"/>
      <c r="I7" s="3"/>
      <c r="J7" s="3"/>
    </row>
    <row r="8" spans="1:23" ht="66" customHeight="1" x14ac:dyDescent="0.25">
      <c r="B8" s="25" t="s">
        <v>82</v>
      </c>
      <c r="C8" s="29" t="s">
        <v>104</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96" customHeight="1" x14ac:dyDescent="0.25">
      <c r="B12" s="10" t="s">
        <v>85</v>
      </c>
      <c r="C12" s="28" t="s">
        <v>86</v>
      </c>
      <c r="D12" s="28" t="s">
        <v>87</v>
      </c>
      <c r="E12" s="28" t="s">
        <v>88</v>
      </c>
      <c r="F12" s="3"/>
      <c r="G12" s="3"/>
      <c r="H12" s="3"/>
      <c r="I12" s="3"/>
      <c r="J12" s="3"/>
    </row>
    <row r="13" spans="1:23" ht="99.75" customHeight="1" x14ac:dyDescent="0.3">
      <c r="B13" s="31" t="s">
        <v>43</v>
      </c>
      <c r="C13" s="32" t="s">
        <v>134</v>
      </c>
      <c r="D13" s="32" t="s">
        <v>133</v>
      </c>
      <c r="E13" s="32" t="s">
        <v>135</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2:16" ht="26.25" customHeight="1" x14ac:dyDescent="0.25">
      <c r="B17" s="365" t="s">
        <v>89</v>
      </c>
      <c r="C17" s="365" t="s">
        <v>90</v>
      </c>
      <c r="D17" s="365" t="s">
        <v>91</v>
      </c>
      <c r="E17" s="365" t="s">
        <v>92</v>
      </c>
      <c r="F17" s="364" t="s">
        <v>93</v>
      </c>
      <c r="G17" s="364"/>
      <c r="H17" s="364"/>
      <c r="I17" s="364"/>
      <c r="J17" s="364"/>
      <c r="K17" s="364" t="s">
        <v>94</v>
      </c>
    </row>
    <row r="18" spans="2:16" ht="37.5" customHeight="1" x14ac:dyDescent="0.25">
      <c r="B18" s="365"/>
      <c r="C18" s="365"/>
      <c r="D18" s="365"/>
      <c r="E18" s="365"/>
      <c r="F18" s="27" t="s">
        <v>51</v>
      </c>
      <c r="G18" s="27" t="s">
        <v>52</v>
      </c>
      <c r="H18" s="27" t="s">
        <v>0</v>
      </c>
      <c r="I18" s="27" t="s">
        <v>1</v>
      </c>
      <c r="J18" s="27" t="s">
        <v>3</v>
      </c>
      <c r="K18" s="364"/>
    </row>
    <row r="19" spans="2:16" ht="180" customHeight="1" x14ac:dyDescent="0.25">
      <c r="B19" s="366" t="s">
        <v>105</v>
      </c>
      <c r="C19" s="30" t="s">
        <v>111</v>
      </c>
      <c r="D19" s="30" t="s">
        <v>44</v>
      </c>
      <c r="E19" s="30"/>
      <c r="F19" s="37">
        <v>198133.1</v>
      </c>
      <c r="G19" s="37">
        <v>225353.3</v>
      </c>
      <c r="H19" s="37">
        <v>306027.8</v>
      </c>
      <c r="I19" s="37">
        <v>306027.8</v>
      </c>
      <c r="J19" s="37">
        <v>306027.8</v>
      </c>
      <c r="K19" s="38" t="s">
        <v>129</v>
      </c>
    </row>
    <row r="20" spans="2:16" ht="75.75" customHeight="1" x14ac:dyDescent="0.25">
      <c r="B20" s="367"/>
      <c r="C20" s="30" t="s">
        <v>106</v>
      </c>
      <c r="D20" s="30" t="s">
        <v>47</v>
      </c>
      <c r="E20" s="30"/>
      <c r="F20" s="30">
        <v>80</v>
      </c>
      <c r="G20" s="30">
        <v>98</v>
      </c>
      <c r="H20" s="30">
        <v>98</v>
      </c>
      <c r="I20" s="30">
        <v>98</v>
      </c>
      <c r="J20" s="30">
        <v>98</v>
      </c>
      <c r="K20" s="32" t="s">
        <v>140</v>
      </c>
    </row>
    <row r="21" spans="2:16" ht="57.75" customHeight="1" x14ac:dyDescent="0.25">
      <c r="B21" s="368" t="s">
        <v>107</v>
      </c>
      <c r="C21" s="30" t="s">
        <v>111</v>
      </c>
      <c r="D21" s="30" t="s">
        <v>44</v>
      </c>
      <c r="E21" s="32" t="s">
        <v>136</v>
      </c>
      <c r="F21" s="33">
        <v>2740.6</v>
      </c>
      <c r="G21" s="33"/>
      <c r="H21" s="33">
        <v>9171</v>
      </c>
      <c r="I21" s="33">
        <v>9171</v>
      </c>
      <c r="J21" s="33">
        <v>9171</v>
      </c>
      <c r="K21" s="366" t="s">
        <v>144</v>
      </c>
      <c r="P21">
        <f>20404*13</f>
        <v>265252</v>
      </c>
    </row>
    <row r="22" spans="2:16" ht="77.25" customHeight="1" x14ac:dyDescent="0.25">
      <c r="B22" s="369"/>
      <c r="C22" s="30" t="s">
        <v>108</v>
      </c>
      <c r="D22" s="30" t="s">
        <v>47</v>
      </c>
      <c r="E22" s="22"/>
      <c r="F22" s="33">
        <v>90.6</v>
      </c>
      <c r="G22" s="33"/>
      <c r="H22" s="33">
        <v>171.48500000000001</v>
      </c>
      <c r="I22" s="33">
        <v>171.48500000000001</v>
      </c>
      <c r="J22" s="33">
        <v>171.48500000000001</v>
      </c>
      <c r="K22" s="367"/>
    </row>
    <row r="23" spans="2:16" ht="39" customHeight="1" x14ac:dyDescent="0.25">
      <c r="B23" s="368" t="s">
        <v>109</v>
      </c>
      <c r="C23" s="30" t="s">
        <v>111</v>
      </c>
      <c r="D23" s="30" t="s">
        <v>44</v>
      </c>
      <c r="E23" s="30"/>
      <c r="F23" s="30">
        <v>197.6</v>
      </c>
      <c r="G23" s="30"/>
      <c r="H23" s="37">
        <v>1735.7</v>
      </c>
      <c r="I23" s="37">
        <v>1735.7</v>
      </c>
      <c r="J23" s="37">
        <v>1735.7</v>
      </c>
      <c r="K23" s="366" t="s">
        <v>128</v>
      </c>
    </row>
    <row r="24" spans="2:16" ht="63" customHeight="1" x14ac:dyDescent="0.25">
      <c r="B24" s="369"/>
      <c r="C24" s="30" t="s">
        <v>141</v>
      </c>
      <c r="D24" s="30" t="s">
        <v>47</v>
      </c>
      <c r="E24" s="30"/>
      <c r="F24" s="30">
        <v>1097.7</v>
      </c>
      <c r="G24" s="30"/>
      <c r="H24" s="37">
        <v>8658</v>
      </c>
      <c r="I24" s="37">
        <v>8658</v>
      </c>
      <c r="J24" s="37">
        <v>8658</v>
      </c>
      <c r="K24" s="367"/>
    </row>
    <row r="25" spans="2:16" ht="80.25" customHeight="1" x14ac:dyDescent="0.25">
      <c r="B25" s="22" t="s">
        <v>110</v>
      </c>
      <c r="C25" s="30" t="s">
        <v>111</v>
      </c>
      <c r="D25" s="30" t="s">
        <v>44</v>
      </c>
      <c r="E25" s="30"/>
      <c r="F25" s="34">
        <v>1350</v>
      </c>
      <c r="G25" s="34"/>
      <c r="H25" s="37">
        <v>6652</v>
      </c>
      <c r="I25" s="37">
        <v>6652</v>
      </c>
      <c r="J25" s="37">
        <v>6652</v>
      </c>
      <c r="K25" s="32" t="s">
        <v>127</v>
      </c>
    </row>
    <row r="26" spans="2:16" ht="19.5" customHeight="1" x14ac:dyDescent="0.25">
      <c r="B26" s="368" t="s">
        <v>112</v>
      </c>
      <c r="C26" s="30" t="s">
        <v>111</v>
      </c>
      <c r="D26" s="30" t="s">
        <v>44</v>
      </c>
      <c r="E26" s="30"/>
      <c r="F26" s="37">
        <v>678</v>
      </c>
      <c r="G26" s="37"/>
      <c r="H26" s="37">
        <v>1440</v>
      </c>
      <c r="I26" s="37">
        <v>1440</v>
      </c>
      <c r="J26" s="37">
        <v>1440</v>
      </c>
      <c r="K26" s="30"/>
    </row>
    <row r="27" spans="2:16" ht="15" customHeight="1" x14ac:dyDescent="0.25">
      <c r="B27" s="369"/>
      <c r="C27" s="30" t="s">
        <v>137</v>
      </c>
      <c r="D27" s="30" t="s">
        <v>47</v>
      </c>
      <c r="E27" s="30"/>
      <c r="F27" s="37">
        <v>25</v>
      </c>
      <c r="G27" s="37"/>
      <c r="H27" s="37">
        <v>36</v>
      </c>
      <c r="I27" s="37">
        <v>36</v>
      </c>
      <c r="J27" s="37">
        <v>36</v>
      </c>
      <c r="K27" s="30"/>
    </row>
    <row r="28" spans="2:16" ht="34.5" customHeight="1" x14ac:dyDescent="0.25">
      <c r="B28" s="368" t="s">
        <v>113</v>
      </c>
      <c r="C28" s="22" t="s">
        <v>111</v>
      </c>
      <c r="D28" s="30" t="s">
        <v>44</v>
      </c>
      <c r="E28" s="30"/>
      <c r="F28" s="37">
        <v>5960</v>
      </c>
      <c r="G28" s="37"/>
      <c r="H28" s="37">
        <v>9500</v>
      </c>
      <c r="I28" s="37">
        <v>9500</v>
      </c>
      <c r="J28" s="37">
        <v>9500</v>
      </c>
      <c r="K28" s="97" t="s">
        <v>139</v>
      </c>
    </row>
    <row r="29" spans="2:16" ht="24.75" customHeight="1" x14ac:dyDescent="0.25">
      <c r="B29" s="369"/>
      <c r="C29" s="22" t="s">
        <v>138</v>
      </c>
      <c r="D29" s="30" t="s">
        <v>47</v>
      </c>
      <c r="E29" s="30"/>
      <c r="F29" s="37">
        <v>578</v>
      </c>
      <c r="G29" s="37"/>
      <c r="H29" s="37">
        <v>812</v>
      </c>
      <c r="I29" s="37">
        <v>812</v>
      </c>
      <c r="J29" s="37">
        <v>812</v>
      </c>
      <c r="K29" s="245"/>
    </row>
    <row r="30" spans="2:16" ht="21.75" customHeight="1" x14ac:dyDescent="0.25">
      <c r="B30" s="22" t="s">
        <v>114</v>
      </c>
      <c r="C30" s="30" t="s">
        <v>111</v>
      </c>
      <c r="D30" s="30" t="s">
        <v>44</v>
      </c>
      <c r="E30" s="30"/>
      <c r="F30" s="37">
        <v>414</v>
      </c>
      <c r="G30" s="37"/>
      <c r="H30" s="37">
        <v>2980</v>
      </c>
      <c r="I30" s="37">
        <v>2980</v>
      </c>
      <c r="J30" s="37">
        <v>2980</v>
      </c>
      <c r="K30" s="245"/>
    </row>
    <row r="31" spans="2:16" ht="24.75" customHeight="1" x14ac:dyDescent="0.25">
      <c r="B31" s="30" t="s">
        <v>115</v>
      </c>
      <c r="C31" s="30" t="s">
        <v>111</v>
      </c>
      <c r="D31" s="30" t="s">
        <v>44</v>
      </c>
      <c r="E31" s="30"/>
      <c r="F31" s="37">
        <v>71</v>
      </c>
      <c r="G31" s="37"/>
      <c r="H31" s="37">
        <v>1400</v>
      </c>
      <c r="I31" s="37">
        <v>1400</v>
      </c>
      <c r="J31" s="37">
        <v>1400</v>
      </c>
      <c r="K31" s="245"/>
    </row>
    <row r="32" spans="2:16" ht="29.25" customHeight="1" x14ac:dyDescent="0.25">
      <c r="B32" s="22" t="s">
        <v>130</v>
      </c>
      <c r="C32" s="30" t="s">
        <v>111</v>
      </c>
      <c r="D32" s="30" t="s">
        <v>44</v>
      </c>
      <c r="E32" s="30"/>
      <c r="F32" s="37">
        <v>68</v>
      </c>
      <c r="G32" s="37"/>
      <c r="H32" s="37">
        <v>0</v>
      </c>
      <c r="I32" s="37">
        <v>0</v>
      </c>
      <c r="J32" s="37">
        <v>0</v>
      </c>
      <c r="K32" s="245"/>
    </row>
    <row r="33" spans="1:11" ht="21.75" customHeight="1" x14ac:dyDescent="0.25">
      <c r="B33" s="30" t="s">
        <v>131</v>
      </c>
      <c r="C33" s="30" t="s">
        <v>111</v>
      </c>
      <c r="D33" s="30" t="s">
        <v>44</v>
      </c>
      <c r="E33" s="30"/>
      <c r="F33" s="37">
        <v>78</v>
      </c>
      <c r="G33" s="37"/>
      <c r="H33" s="37">
        <v>0</v>
      </c>
      <c r="I33" s="37">
        <v>0</v>
      </c>
      <c r="J33" s="37">
        <v>0</v>
      </c>
      <c r="K33" s="245"/>
    </row>
    <row r="34" spans="1:11" ht="19.5" customHeight="1" x14ac:dyDescent="0.25">
      <c r="B34" s="44" t="s">
        <v>116</v>
      </c>
      <c r="C34" s="30" t="s">
        <v>117</v>
      </c>
      <c r="D34" s="30" t="s">
        <v>44</v>
      </c>
      <c r="E34" s="30"/>
      <c r="F34" s="37">
        <v>75</v>
      </c>
      <c r="G34" s="37"/>
      <c r="H34" s="37">
        <v>650</v>
      </c>
      <c r="I34" s="37">
        <v>650</v>
      </c>
      <c r="J34" s="37">
        <v>650</v>
      </c>
      <c r="K34" s="245"/>
    </row>
    <row r="35" spans="1:11" ht="44.25" customHeight="1" x14ac:dyDescent="0.25">
      <c r="B35" s="22" t="s">
        <v>142</v>
      </c>
      <c r="C35" s="30" t="s">
        <v>111</v>
      </c>
      <c r="D35" s="30" t="s">
        <v>44</v>
      </c>
      <c r="E35" s="30"/>
      <c r="F35" s="37">
        <v>153</v>
      </c>
      <c r="G35" s="37"/>
      <c r="H35" s="37">
        <v>8245</v>
      </c>
      <c r="I35" s="37">
        <v>8245</v>
      </c>
      <c r="J35" s="37">
        <v>8245</v>
      </c>
      <c r="K35" s="97" t="s">
        <v>145</v>
      </c>
    </row>
    <row r="36" spans="1:11" ht="25.9" customHeight="1" x14ac:dyDescent="0.25">
      <c r="B36" s="22" t="s">
        <v>118</v>
      </c>
      <c r="C36" s="30" t="s">
        <v>111</v>
      </c>
      <c r="D36" s="30" t="s">
        <v>44</v>
      </c>
      <c r="E36" s="30"/>
      <c r="F36" s="37">
        <v>1009</v>
      </c>
      <c r="G36" s="37"/>
      <c r="H36" s="37">
        <v>4500</v>
      </c>
      <c r="I36" s="37">
        <v>4500</v>
      </c>
      <c r="J36" s="37">
        <v>4500</v>
      </c>
      <c r="K36" s="245"/>
    </row>
    <row r="37" spans="1:11" ht="41.25" customHeight="1" x14ac:dyDescent="0.25">
      <c r="B37" s="22" t="s">
        <v>119</v>
      </c>
      <c r="C37" s="30" t="s">
        <v>111</v>
      </c>
      <c r="D37" s="30" t="s">
        <v>44</v>
      </c>
      <c r="E37" s="30"/>
      <c r="F37" s="37">
        <v>990</v>
      </c>
      <c r="G37" s="37"/>
      <c r="H37" s="37">
        <v>1990</v>
      </c>
      <c r="I37" s="37">
        <v>1990</v>
      </c>
      <c r="J37" s="37">
        <v>1990</v>
      </c>
      <c r="K37" s="245"/>
    </row>
    <row r="38" spans="1:11" ht="25.9" customHeight="1" x14ac:dyDescent="0.25">
      <c r="B38" s="368" t="s">
        <v>120</v>
      </c>
      <c r="C38" s="30" t="s">
        <v>111</v>
      </c>
      <c r="D38" s="30" t="s">
        <v>44</v>
      </c>
      <c r="E38" s="30"/>
      <c r="F38" s="37">
        <v>10835.9</v>
      </c>
      <c r="G38" s="37"/>
      <c r="H38" s="37">
        <v>28845</v>
      </c>
      <c r="I38" s="37">
        <v>28845</v>
      </c>
      <c r="J38" s="37">
        <v>28845</v>
      </c>
      <c r="K38" s="97" t="s">
        <v>146</v>
      </c>
    </row>
    <row r="39" spans="1:11" ht="16.5" customHeight="1" x14ac:dyDescent="0.25">
      <c r="B39" s="369"/>
      <c r="C39" s="30" t="s">
        <v>121</v>
      </c>
      <c r="D39" s="30" t="s">
        <v>47</v>
      </c>
      <c r="E39" s="30"/>
      <c r="F39" s="37">
        <f>+F38/25</f>
        <v>433.43599999999998</v>
      </c>
      <c r="G39" s="37"/>
      <c r="H39" s="37">
        <v>801.25</v>
      </c>
      <c r="I39" s="37">
        <v>801.25</v>
      </c>
      <c r="J39" s="37">
        <v>801.25</v>
      </c>
      <c r="K39" s="22"/>
    </row>
    <row r="40" spans="1:11" ht="25.9" customHeight="1" x14ac:dyDescent="0.25">
      <c r="B40" s="22" t="s">
        <v>122</v>
      </c>
      <c r="C40" s="30" t="s">
        <v>111</v>
      </c>
      <c r="D40" s="30" t="s">
        <v>44</v>
      </c>
      <c r="E40" s="30"/>
      <c r="F40" s="37">
        <v>120</v>
      </c>
      <c r="G40" s="37"/>
      <c r="H40" s="37">
        <v>120</v>
      </c>
      <c r="I40" s="37">
        <v>120</v>
      </c>
      <c r="J40" s="37">
        <v>120</v>
      </c>
      <c r="K40" s="30"/>
    </row>
    <row r="41" spans="1:11" ht="25.9" customHeight="1" x14ac:dyDescent="0.25">
      <c r="B41" s="22" t="s">
        <v>123</v>
      </c>
      <c r="C41" s="30" t="s">
        <v>111</v>
      </c>
      <c r="D41" s="30" t="s">
        <v>44</v>
      </c>
      <c r="E41" s="30"/>
      <c r="F41" s="37">
        <v>500</v>
      </c>
      <c r="G41" s="37"/>
      <c r="H41" s="37">
        <v>980</v>
      </c>
      <c r="I41" s="37">
        <v>980</v>
      </c>
      <c r="J41" s="37">
        <v>980</v>
      </c>
      <c r="K41" s="30"/>
    </row>
    <row r="42" spans="1:11" ht="25.9" customHeight="1" x14ac:dyDescent="0.25">
      <c r="B42" s="22" t="s">
        <v>124</v>
      </c>
      <c r="C42" s="30" t="s">
        <v>111</v>
      </c>
      <c r="D42" s="30" t="s">
        <v>44</v>
      </c>
      <c r="E42" s="30"/>
      <c r="F42" s="37">
        <v>980</v>
      </c>
      <c r="G42" s="37"/>
      <c r="H42" s="37">
        <v>1980</v>
      </c>
      <c r="I42" s="37">
        <v>1980</v>
      </c>
      <c r="J42" s="37">
        <v>1980</v>
      </c>
      <c r="K42" s="30"/>
    </row>
    <row r="43" spans="1:11" ht="15.75" customHeight="1" x14ac:dyDescent="0.25">
      <c r="B43" s="22" t="s">
        <v>125</v>
      </c>
      <c r="C43" s="30" t="s">
        <v>111</v>
      </c>
      <c r="D43" s="30" t="s">
        <v>44</v>
      </c>
      <c r="E43" s="30"/>
      <c r="F43" s="37">
        <v>45070.7</v>
      </c>
      <c r="G43" s="37">
        <v>45070.6</v>
      </c>
      <c r="H43" s="37">
        <v>80002.5</v>
      </c>
      <c r="I43" s="37">
        <v>80002.5</v>
      </c>
      <c r="J43" s="37">
        <v>80002.5</v>
      </c>
      <c r="K43" s="30"/>
    </row>
    <row r="44" spans="1:11" ht="16.5" customHeight="1" x14ac:dyDescent="0.25">
      <c r="B44" s="22" t="s">
        <v>126</v>
      </c>
      <c r="C44" s="30" t="s">
        <v>111</v>
      </c>
      <c r="D44" s="30" t="s">
        <v>44</v>
      </c>
      <c r="E44" s="30"/>
      <c r="F44" s="37">
        <v>1000</v>
      </c>
      <c r="G44" s="37"/>
      <c r="H44" s="37">
        <v>1000</v>
      </c>
      <c r="I44" s="37">
        <v>1000</v>
      </c>
      <c r="J44" s="37">
        <v>1000</v>
      </c>
      <c r="K44" s="30"/>
    </row>
    <row r="45" spans="1:11" ht="17.25" x14ac:dyDescent="0.25">
      <c r="B45" s="3"/>
      <c r="C45" s="3"/>
      <c r="D45" s="3"/>
      <c r="E45" s="3"/>
      <c r="F45" s="3"/>
      <c r="G45" s="3"/>
      <c r="H45" s="3"/>
      <c r="I45" s="3"/>
      <c r="J45" s="3"/>
    </row>
    <row r="46" spans="1:11" ht="15.75" x14ac:dyDescent="0.25">
      <c r="A46" s="12" t="s">
        <v>53</v>
      </c>
      <c r="C46" s="13"/>
      <c r="D46" s="13"/>
      <c r="E46" s="13"/>
      <c r="F46" s="13"/>
      <c r="G46" s="13"/>
      <c r="H46" s="35"/>
      <c r="I46" s="13"/>
      <c r="J46" s="13"/>
    </row>
    <row r="47" spans="1:11" x14ac:dyDescent="0.25">
      <c r="A47" s="14"/>
      <c r="C47" s="15"/>
      <c r="D47" s="15"/>
      <c r="E47" s="15"/>
      <c r="F47" s="15"/>
      <c r="G47" s="15"/>
      <c r="H47" s="15"/>
      <c r="I47" s="15"/>
      <c r="J47" s="15"/>
    </row>
    <row r="48" spans="1:11" x14ac:dyDescent="0.25">
      <c r="A48" s="16" t="s">
        <v>54</v>
      </c>
      <c r="C48" s="17"/>
      <c r="D48" s="17"/>
      <c r="E48" s="13"/>
      <c r="F48" s="13"/>
      <c r="G48" s="13"/>
      <c r="H48" s="13"/>
      <c r="I48" s="13"/>
      <c r="J48" s="13"/>
    </row>
    <row r="49" spans="1:19" x14ac:dyDescent="0.25">
      <c r="B49" s="17"/>
      <c r="C49" s="17"/>
      <c r="D49" s="17"/>
      <c r="E49" s="13"/>
      <c r="F49" s="13"/>
      <c r="G49" s="13"/>
      <c r="H49" s="13"/>
      <c r="I49" s="13"/>
      <c r="J49" s="13"/>
    </row>
    <row r="50" spans="1:19" x14ac:dyDescent="0.25">
      <c r="B50" s="17"/>
      <c r="C50" s="17"/>
      <c r="D50" s="17"/>
      <c r="E50" s="13"/>
      <c r="F50" s="13"/>
      <c r="G50" s="13"/>
      <c r="H50" s="13"/>
      <c r="I50" s="13"/>
      <c r="J50" s="13"/>
    </row>
    <row r="51" spans="1:19" x14ac:dyDescent="0.25">
      <c r="B51" s="17"/>
      <c r="C51" s="17"/>
      <c r="D51" s="17"/>
      <c r="E51" s="13"/>
      <c r="F51" s="13"/>
      <c r="G51" s="13"/>
      <c r="H51" s="13"/>
      <c r="I51" s="13"/>
      <c r="J51" s="13"/>
    </row>
    <row r="52" spans="1:19" x14ac:dyDescent="0.25">
      <c r="B52" s="17"/>
      <c r="C52" s="17"/>
      <c r="D52" s="17"/>
      <c r="E52" s="13"/>
      <c r="F52" s="13"/>
      <c r="G52" s="13"/>
      <c r="H52" s="13"/>
      <c r="I52" s="13"/>
      <c r="J52" s="13"/>
    </row>
    <row r="53" spans="1:19" x14ac:dyDescent="0.25">
      <c r="A53" s="16" t="s">
        <v>55</v>
      </c>
      <c r="E53" s="13"/>
      <c r="F53" s="13"/>
      <c r="G53" s="13"/>
      <c r="H53" s="13"/>
      <c r="I53" s="13"/>
      <c r="J53" s="13"/>
    </row>
    <row r="54" spans="1:19" ht="62.25" customHeight="1" x14ac:dyDescent="0.25">
      <c r="B54" s="360"/>
      <c r="C54" s="361"/>
      <c r="D54" s="361"/>
      <c r="E54" s="362"/>
      <c r="F54" s="13"/>
      <c r="G54" s="13"/>
      <c r="H54" s="13"/>
      <c r="I54" s="13"/>
      <c r="J54" s="13"/>
    </row>
    <row r="55" spans="1:19" ht="17.25" x14ac:dyDescent="0.25">
      <c r="B55" s="3"/>
      <c r="C55" s="3"/>
      <c r="D55" s="3"/>
      <c r="E55" s="13"/>
      <c r="F55" s="13"/>
      <c r="G55" s="13"/>
      <c r="H55" s="13"/>
      <c r="I55" s="13"/>
      <c r="J55" s="13"/>
    </row>
    <row r="56" spans="1:19" x14ac:dyDescent="0.25">
      <c r="A56" s="7" t="s">
        <v>56</v>
      </c>
    </row>
    <row r="58" spans="1:19" ht="43.5" customHeight="1" x14ac:dyDescent="0.25">
      <c r="B58" s="363" t="s">
        <v>95</v>
      </c>
      <c r="C58" s="4" t="s">
        <v>96</v>
      </c>
      <c r="D58" s="4" t="s">
        <v>97</v>
      </c>
      <c r="E58" s="358" t="s">
        <v>98</v>
      </c>
      <c r="F58" s="358"/>
      <c r="G58" s="358"/>
      <c r="H58" s="358" t="s">
        <v>99</v>
      </c>
      <c r="I58" s="358"/>
      <c r="J58" s="358"/>
      <c r="K58" s="358" t="s">
        <v>100</v>
      </c>
      <c r="L58" s="358"/>
      <c r="M58" s="358"/>
      <c r="N58" s="358" t="s">
        <v>101</v>
      </c>
      <c r="O58" s="358"/>
      <c r="P58" s="358"/>
      <c r="Q58" s="359" t="s">
        <v>102</v>
      </c>
      <c r="R58" s="359"/>
      <c r="S58" s="359"/>
    </row>
    <row r="59" spans="1:19" ht="30" customHeight="1" x14ac:dyDescent="0.25">
      <c r="B59" s="363"/>
      <c r="C59" s="4" t="s">
        <v>35</v>
      </c>
      <c r="D59" s="4" t="s">
        <v>36</v>
      </c>
      <c r="E59" s="19" t="s">
        <v>0</v>
      </c>
      <c r="F59" s="19" t="s">
        <v>1</v>
      </c>
      <c r="G59" s="19" t="s">
        <v>3</v>
      </c>
      <c r="H59" s="19" t="s">
        <v>0</v>
      </c>
      <c r="I59" s="19" t="s">
        <v>1</v>
      </c>
      <c r="J59" s="19" t="s">
        <v>3</v>
      </c>
      <c r="K59" s="19" t="s">
        <v>39</v>
      </c>
      <c r="L59" s="19" t="s">
        <v>38</v>
      </c>
      <c r="M59" s="19" t="s">
        <v>37</v>
      </c>
      <c r="N59" s="19" t="s">
        <v>39</v>
      </c>
      <c r="O59" s="19" t="s">
        <v>38</v>
      </c>
      <c r="P59" s="19" t="s">
        <v>37</v>
      </c>
      <c r="Q59" s="26" t="s">
        <v>0</v>
      </c>
      <c r="R59" s="26" t="s">
        <v>1</v>
      </c>
      <c r="S59" s="26" t="s">
        <v>3</v>
      </c>
    </row>
    <row r="60" spans="1:19" ht="27" customHeight="1" x14ac:dyDescent="0.25">
      <c r="B60" s="22" t="s">
        <v>105</v>
      </c>
      <c r="C60" s="39">
        <f>55403.61+198133.1</f>
        <v>253536.71000000002</v>
      </c>
      <c r="D60" s="39">
        <v>225353.3</v>
      </c>
      <c r="E60" s="40">
        <f>+(F20*3122.733)-C60</f>
        <v>-3718.070000000007</v>
      </c>
      <c r="F60" s="40">
        <f>+(F20*3122.733)-C60</f>
        <v>-3718.070000000007</v>
      </c>
      <c r="G60" s="40">
        <f>+(F20*3122.733)-C60</f>
        <v>-3718.070000000007</v>
      </c>
      <c r="H60" s="40">
        <f>(+G20-F20)*3122.733</f>
        <v>56209.194000000003</v>
      </c>
      <c r="I60" s="40">
        <f>(+I20-F20)*3122.733</f>
        <v>56209.194000000003</v>
      </c>
      <c r="J60" s="40">
        <f>(+J20-F20)*3122.733</f>
        <v>56209.194000000003</v>
      </c>
      <c r="K60" s="41">
        <f>C60+E60+H60</f>
        <v>306027.83400000003</v>
      </c>
      <c r="L60" s="41">
        <f>C60+F60+I60</f>
        <v>306027.83400000003</v>
      </c>
      <c r="M60" s="41">
        <f>C60+G60+J60</f>
        <v>306027.83400000003</v>
      </c>
      <c r="N60" s="40"/>
      <c r="O60" s="40"/>
      <c r="P60" s="40"/>
      <c r="Q60" s="43">
        <f>K60+N60</f>
        <v>306027.83400000003</v>
      </c>
      <c r="R60" s="43">
        <f>L60+O60</f>
        <v>306027.83400000003</v>
      </c>
      <c r="S60" s="43">
        <f>M60+P60</f>
        <v>306027.83400000003</v>
      </c>
    </row>
    <row r="61" spans="1:19" ht="27" x14ac:dyDescent="0.25">
      <c r="B61" s="22" t="s">
        <v>107</v>
      </c>
      <c r="C61" s="39">
        <v>2740.6</v>
      </c>
      <c r="D61" s="39"/>
      <c r="E61" s="40">
        <f>+(F22*53.48)-C61</f>
        <v>2104.6879999999996</v>
      </c>
      <c r="F61" s="40">
        <f>+(F22*53.48)-C61</f>
        <v>2104.6879999999996</v>
      </c>
      <c r="G61" s="40">
        <f>+(F22*53.48)-C61</f>
        <v>2104.6879999999996</v>
      </c>
      <c r="H61" s="40">
        <f>(H22-F22)*53.48</f>
        <v>4325.729800000001</v>
      </c>
      <c r="I61" s="40">
        <f>(I22-F22)*53.48</f>
        <v>4325.729800000001</v>
      </c>
      <c r="J61" s="40">
        <f>(J22-F22)*53.48</f>
        <v>4325.729800000001</v>
      </c>
      <c r="K61" s="41">
        <f t="shared" ref="K61:K65" si="0">C61+E61+H61</f>
        <v>9171.0178000000014</v>
      </c>
      <c r="L61" s="41">
        <f t="shared" ref="L61:L65" si="1">C61+F61+I61</f>
        <v>9171.0178000000014</v>
      </c>
      <c r="M61" s="41">
        <f t="shared" ref="M61:M65" si="2">C61+G61+J61</f>
        <v>9171.0178000000014</v>
      </c>
      <c r="N61" s="40"/>
      <c r="O61" s="40"/>
      <c r="P61" s="40"/>
      <c r="Q61" s="43">
        <f t="shared" ref="Q61:Q65" si="3">K61+N61</f>
        <v>9171.0178000000014</v>
      </c>
      <c r="R61" s="43">
        <f t="shared" ref="R61:R65" si="4">L61+O61</f>
        <v>9171.0178000000014</v>
      </c>
      <c r="S61" s="43">
        <f t="shared" ref="S61:S65" si="5">M61+P61</f>
        <v>9171.0178000000014</v>
      </c>
    </row>
    <row r="62" spans="1:19" x14ac:dyDescent="0.25">
      <c r="B62" s="22" t="s">
        <v>109</v>
      </c>
      <c r="C62" s="39">
        <v>197.6</v>
      </c>
      <c r="D62" s="39"/>
      <c r="E62" s="40">
        <f>+(F24*0.20047)-C62</f>
        <v>22.455919000000023</v>
      </c>
      <c r="F62" s="40">
        <f>+(F24*0.20047)-C62</f>
        <v>22.455919000000023</v>
      </c>
      <c r="G62" s="40">
        <f>+(F24*0.20047)-C62</f>
        <v>22.455919000000023</v>
      </c>
      <c r="H62" s="40">
        <f>(H24-F24)*0.20047</f>
        <v>1515.6133410000002</v>
      </c>
      <c r="I62" s="40">
        <f>(I24-F24)*0.20047</f>
        <v>1515.6133410000002</v>
      </c>
      <c r="J62" s="40">
        <f>(J24-F24)*0.20047</f>
        <v>1515.6133410000002</v>
      </c>
      <c r="K62" s="41">
        <f t="shared" si="0"/>
        <v>1735.6692600000001</v>
      </c>
      <c r="L62" s="41">
        <f t="shared" si="1"/>
        <v>1735.6692600000001</v>
      </c>
      <c r="M62" s="41">
        <f t="shared" si="2"/>
        <v>1735.6692600000001</v>
      </c>
      <c r="N62" s="40"/>
      <c r="O62" s="40"/>
      <c r="P62" s="40"/>
      <c r="Q62" s="43">
        <f t="shared" si="3"/>
        <v>1735.6692600000001</v>
      </c>
      <c r="R62" s="43">
        <f t="shared" si="4"/>
        <v>1735.6692600000001</v>
      </c>
      <c r="S62" s="43">
        <f t="shared" si="5"/>
        <v>1735.6692600000001</v>
      </c>
    </row>
    <row r="63" spans="1:19" x14ac:dyDescent="0.25">
      <c r="B63" s="22" t="s">
        <v>110</v>
      </c>
      <c r="C63" s="39">
        <v>1350</v>
      </c>
      <c r="D63" s="39"/>
      <c r="E63" s="40">
        <f>+H25-F25</f>
        <v>5302</v>
      </c>
      <c r="F63" s="40">
        <f>+I25-F25</f>
        <v>5302</v>
      </c>
      <c r="G63" s="40">
        <f>+J25-F25</f>
        <v>5302</v>
      </c>
      <c r="H63" s="40"/>
      <c r="I63" s="40"/>
      <c r="J63" s="40"/>
      <c r="K63" s="41">
        <f t="shared" si="0"/>
        <v>6652</v>
      </c>
      <c r="L63" s="41">
        <f t="shared" si="1"/>
        <v>6652</v>
      </c>
      <c r="M63" s="41">
        <f t="shared" si="2"/>
        <v>6652</v>
      </c>
      <c r="N63" s="40"/>
      <c r="O63" s="40"/>
      <c r="P63" s="40"/>
      <c r="Q63" s="43">
        <f t="shared" si="3"/>
        <v>6652</v>
      </c>
      <c r="R63" s="43">
        <f t="shared" si="4"/>
        <v>6652</v>
      </c>
      <c r="S63" s="43">
        <f t="shared" si="5"/>
        <v>6652</v>
      </c>
    </row>
    <row r="64" spans="1:19" x14ac:dyDescent="0.25">
      <c r="B64" s="22" t="s">
        <v>112</v>
      </c>
      <c r="C64" s="39">
        <v>678</v>
      </c>
      <c r="D64" s="39"/>
      <c r="E64" s="40">
        <f>+(F27*40)-C64</f>
        <v>322</v>
      </c>
      <c r="F64" s="40">
        <f>+(F27*40)-C64</f>
        <v>322</v>
      </c>
      <c r="G64" s="40">
        <f>+(F27*40)-C64</f>
        <v>322</v>
      </c>
      <c r="H64" s="40">
        <f>+(H27-F27)*40</f>
        <v>440</v>
      </c>
      <c r="I64" s="40">
        <f>+(I27-F27)*40</f>
        <v>440</v>
      </c>
      <c r="J64" s="40">
        <f>+(J27-F27)*40</f>
        <v>440</v>
      </c>
      <c r="K64" s="41">
        <f t="shared" si="0"/>
        <v>1440</v>
      </c>
      <c r="L64" s="41">
        <f t="shared" si="1"/>
        <v>1440</v>
      </c>
      <c r="M64" s="41">
        <f t="shared" si="2"/>
        <v>1440</v>
      </c>
      <c r="N64" s="40"/>
      <c r="O64" s="40"/>
      <c r="P64" s="40"/>
      <c r="Q64" s="43">
        <f t="shared" si="3"/>
        <v>1440</v>
      </c>
      <c r="R64" s="43">
        <f t="shared" si="4"/>
        <v>1440</v>
      </c>
      <c r="S64" s="43">
        <f t="shared" si="5"/>
        <v>1440</v>
      </c>
    </row>
    <row r="65" spans="2:19" x14ac:dyDescent="0.25">
      <c r="B65" s="22" t="s">
        <v>113</v>
      </c>
      <c r="C65" s="39">
        <v>5960</v>
      </c>
      <c r="D65" s="39"/>
      <c r="E65" s="40">
        <f>+(F29*11.6995)-C65</f>
        <v>802.3110000000006</v>
      </c>
      <c r="F65" s="40">
        <f>+(F29*11.6995)-C65</f>
        <v>802.3110000000006</v>
      </c>
      <c r="G65" s="40">
        <f>+(F29*11.6995)-C65</f>
        <v>802.3110000000006</v>
      </c>
      <c r="H65" s="40">
        <f>+(H29-F29)*11.6995</f>
        <v>2737.683</v>
      </c>
      <c r="I65" s="40">
        <f>+(I29-F29)*11.6995</f>
        <v>2737.683</v>
      </c>
      <c r="J65" s="40">
        <f>+(J29-F29)*11.6995</f>
        <v>2737.683</v>
      </c>
      <c r="K65" s="41">
        <f t="shared" si="0"/>
        <v>9499.9940000000006</v>
      </c>
      <c r="L65" s="41">
        <f t="shared" si="1"/>
        <v>9499.9940000000006</v>
      </c>
      <c r="M65" s="41">
        <f t="shared" si="2"/>
        <v>9499.9940000000006</v>
      </c>
      <c r="N65" s="40"/>
      <c r="O65" s="40"/>
      <c r="P65" s="40"/>
      <c r="Q65" s="43">
        <f t="shared" si="3"/>
        <v>9499.9940000000006</v>
      </c>
      <c r="R65" s="43">
        <f t="shared" si="4"/>
        <v>9499.9940000000006</v>
      </c>
      <c r="S65" s="43">
        <f t="shared" si="5"/>
        <v>9499.9940000000006</v>
      </c>
    </row>
    <row r="66" spans="2:19" x14ac:dyDescent="0.25">
      <c r="B66" s="22" t="s">
        <v>114</v>
      </c>
      <c r="C66" s="39">
        <v>414</v>
      </c>
      <c r="D66" s="39"/>
      <c r="E66" s="40">
        <f t="shared" ref="E66:E72" si="6">+H30-C66</f>
        <v>2566</v>
      </c>
      <c r="F66" s="40">
        <f t="shared" ref="F66:F72" si="7">+I30-C66</f>
        <v>2566</v>
      </c>
      <c r="G66" s="40">
        <f t="shared" ref="G66:G72" si="8">+J30-C66</f>
        <v>2566</v>
      </c>
      <c r="H66" s="40"/>
      <c r="I66" s="40"/>
      <c r="J66" s="40"/>
      <c r="K66" s="41">
        <f t="shared" ref="K66:K69" si="9">C66+E66+H66</f>
        <v>2980</v>
      </c>
      <c r="L66" s="41">
        <f t="shared" ref="L66:L69" si="10">C66+F66+I66</f>
        <v>2980</v>
      </c>
      <c r="M66" s="41">
        <f t="shared" ref="M66:M69" si="11">C66+G66+J66</f>
        <v>2980</v>
      </c>
      <c r="N66" s="40"/>
      <c r="O66" s="40"/>
      <c r="P66" s="40"/>
      <c r="Q66" s="43">
        <f t="shared" ref="Q66:Q69" si="12">K66+N66</f>
        <v>2980</v>
      </c>
      <c r="R66" s="43">
        <f t="shared" ref="R66:R69" si="13">L66+O66</f>
        <v>2980</v>
      </c>
      <c r="S66" s="43">
        <f t="shared" ref="S66:S69" si="14">M66+P66</f>
        <v>2980</v>
      </c>
    </row>
    <row r="67" spans="2:19" x14ac:dyDescent="0.25">
      <c r="B67" s="22" t="s">
        <v>115</v>
      </c>
      <c r="C67" s="39">
        <v>71</v>
      </c>
      <c r="D67" s="39"/>
      <c r="E67" s="40">
        <f t="shared" si="6"/>
        <v>1329</v>
      </c>
      <c r="F67" s="40">
        <f t="shared" si="7"/>
        <v>1329</v>
      </c>
      <c r="G67" s="40">
        <f t="shared" si="8"/>
        <v>1329</v>
      </c>
      <c r="H67" s="40"/>
      <c r="I67" s="40"/>
      <c r="J67" s="40"/>
      <c r="K67" s="41">
        <f t="shared" si="9"/>
        <v>1400</v>
      </c>
      <c r="L67" s="41">
        <f t="shared" si="10"/>
        <v>1400</v>
      </c>
      <c r="M67" s="41">
        <f t="shared" si="11"/>
        <v>1400</v>
      </c>
      <c r="N67" s="40"/>
      <c r="O67" s="40"/>
      <c r="P67" s="40"/>
      <c r="Q67" s="43">
        <f t="shared" si="12"/>
        <v>1400</v>
      </c>
      <c r="R67" s="43">
        <f t="shared" si="13"/>
        <v>1400</v>
      </c>
      <c r="S67" s="43">
        <f t="shared" si="14"/>
        <v>1400</v>
      </c>
    </row>
    <row r="68" spans="2:19" ht="31.5" customHeight="1" x14ac:dyDescent="0.25">
      <c r="B68" s="22" t="s">
        <v>130</v>
      </c>
      <c r="C68" s="39">
        <v>68</v>
      </c>
      <c r="D68" s="39"/>
      <c r="E68" s="40">
        <f t="shared" si="6"/>
        <v>-68</v>
      </c>
      <c r="F68" s="40">
        <f t="shared" si="7"/>
        <v>-68</v>
      </c>
      <c r="G68" s="40">
        <f t="shared" si="8"/>
        <v>-68</v>
      </c>
      <c r="H68" s="40"/>
      <c r="I68" s="40"/>
      <c r="J68" s="40"/>
      <c r="K68" s="41">
        <f t="shared" si="9"/>
        <v>0</v>
      </c>
      <c r="L68" s="41">
        <f t="shared" si="10"/>
        <v>0</v>
      </c>
      <c r="M68" s="41">
        <f t="shared" si="11"/>
        <v>0</v>
      </c>
      <c r="N68" s="40"/>
      <c r="O68" s="40"/>
      <c r="P68" s="40"/>
      <c r="Q68" s="43">
        <f t="shared" si="12"/>
        <v>0</v>
      </c>
      <c r="R68" s="43">
        <f t="shared" si="13"/>
        <v>0</v>
      </c>
      <c r="S68" s="43">
        <f t="shared" si="14"/>
        <v>0</v>
      </c>
    </row>
    <row r="69" spans="2:19" x14ac:dyDescent="0.25">
      <c r="B69" s="22" t="s">
        <v>131</v>
      </c>
      <c r="C69" s="39">
        <v>78</v>
      </c>
      <c r="D69" s="39"/>
      <c r="E69" s="40">
        <f t="shared" si="6"/>
        <v>-78</v>
      </c>
      <c r="F69" s="40">
        <f t="shared" si="7"/>
        <v>-78</v>
      </c>
      <c r="G69" s="40">
        <f t="shared" si="8"/>
        <v>-78</v>
      </c>
      <c r="H69" s="40"/>
      <c r="I69" s="40"/>
      <c r="J69" s="40"/>
      <c r="K69" s="41">
        <f t="shared" si="9"/>
        <v>0</v>
      </c>
      <c r="L69" s="41">
        <f t="shared" si="10"/>
        <v>0</v>
      </c>
      <c r="M69" s="41">
        <f t="shared" si="11"/>
        <v>0</v>
      </c>
      <c r="N69" s="40"/>
      <c r="O69" s="40"/>
      <c r="P69" s="40"/>
      <c r="Q69" s="43">
        <f t="shared" si="12"/>
        <v>0</v>
      </c>
      <c r="R69" s="43">
        <f t="shared" si="13"/>
        <v>0</v>
      </c>
      <c r="S69" s="43">
        <f t="shared" si="14"/>
        <v>0</v>
      </c>
    </row>
    <row r="70" spans="2:19" ht="30.75" customHeight="1" x14ac:dyDescent="0.25">
      <c r="B70" s="22" t="s">
        <v>116</v>
      </c>
      <c r="C70" s="39">
        <v>75</v>
      </c>
      <c r="D70" s="39"/>
      <c r="E70" s="40">
        <f t="shared" si="6"/>
        <v>575</v>
      </c>
      <c r="F70" s="40">
        <f t="shared" si="7"/>
        <v>575</v>
      </c>
      <c r="G70" s="40">
        <f t="shared" si="8"/>
        <v>575</v>
      </c>
      <c r="H70" s="40"/>
      <c r="I70" s="40"/>
      <c r="J70" s="40"/>
      <c r="K70" s="41">
        <f t="shared" ref="K70:K72" si="15">C70+E70+H70</f>
        <v>650</v>
      </c>
      <c r="L70" s="41">
        <f t="shared" ref="L70" si="16">C70+F70+I70</f>
        <v>650</v>
      </c>
      <c r="M70" s="41">
        <f t="shared" ref="M70" si="17">C70+G70+J70</f>
        <v>650</v>
      </c>
      <c r="N70" s="40"/>
      <c r="O70" s="40"/>
      <c r="P70" s="40"/>
      <c r="Q70" s="43">
        <f t="shared" ref="Q70:Q72" si="18">K70+N70</f>
        <v>650</v>
      </c>
      <c r="R70" s="43">
        <f t="shared" ref="R70:R71" si="19">L70+O70</f>
        <v>650</v>
      </c>
      <c r="S70" s="43">
        <f t="shared" ref="S70:S71" si="20">M70+P70</f>
        <v>650</v>
      </c>
    </row>
    <row r="71" spans="2:19" ht="24" customHeight="1" x14ac:dyDescent="0.25">
      <c r="B71" s="22" t="s">
        <v>142</v>
      </c>
      <c r="C71" s="39">
        <v>153</v>
      </c>
      <c r="D71" s="39"/>
      <c r="E71" s="40">
        <f t="shared" si="6"/>
        <v>8092</v>
      </c>
      <c r="F71" s="40">
        <f t="shared" si="7"/>
        <v>8092</v>
      </c>
      <c r="G71" s="40">
        <f t="shared" si="8"/>
        <v>8092</v>
      </c>
      <c r="H71" s="40"/>
      <c r="I71" s="40"/>
      <c r="J71" s="40"/>
      <c r="K71" s="41">
        <f t="shared" si="15"/>
        <v>8245</v>
      </c>
      <c r="L71" s="41">
        <f>C71+F71+I71</f>
        <v>8245</v>
      </c>
      <c r="M71" s="41">
        <f>C71+G71+J71</f>
        <v>8245</v>
      </c>
      <c r="N71" s="40"/>
      <c r="O71" s="40"/>
      <c r="P71" s="40"/>
      <c r="Q71" s="43">
        <f t="shared" si="18"/>
        <v>8245</v>
      </c>
      <c r="R71" s="43">
        <f t="shared" si="19"/>
        <v>8245</v>
      </c>
      <c r="S71" s="43">
        <f t="shared" si="20"/>
        <v>8245</v>
      </c>
    </row>
    <row r="72" spans="2:19" ht="32.25" customHeight="1" x14ac:dyDescent="0.25">
      <c r="B72" s="22" t="s">
        <v>118</v>
      </c>
      <c r="C72" s="39">
        <v>1009</v>
      </c>
      <c r="D72" s="39"/>
      <c r="E72" s="40">
        <f t="shared" si="6"/>
        <v>3491</v>
      </c>
      <c r="F72" s="40">
        <f t="shared" si="7"/>
        <v>3491</v>
      </c>
      <c r="G72" s="40">
        <f t="shared" si="8"/>
        <v>3491</v>
      </c>
      <c r="H72" s="40"/>
      <c r="I72" s="40"/>
      <c r="J72" s="40"/>
      <c r="K72" s="41">
        <f t="shared" si="15"/>
        <v>4500</v>
      </c>
      <c r="L72" s="41">
        <f>C72+F72+I72</f>
        <v>4500</v>
      </c>
      <c r="M72" s="41">
        <f>C72+G72+J72</f>
        <v>4500</v>
      </c>
      <c r="N72" s="40"/>
      <c r="O72" s="40"/>
      <c r="P72" s="40"/>
      <c r="Q72" s="43">
        <f t="shared" si="18"/>
        <v>4500</v>
      </c>
      <c r="R72" s="43">
        <f t="shared" ref="R72" si="21">L72+O72</f>
        <v>4500</v>
      </c>
      <c r="S72" s="43">
        <f t="shared" ref="S72" si="22">M72+P72</f>
        <v>4500</v>
      </c>
    </row>
    <row r="73" spans="2:19" x14ac:dyDescent="0.25">
      <c r="B73" s="22" t="s">
        <v>143</v>
      </c>
      <c r="C73" s="39">
        <v>990</v>
      </c>
      <c r="D73" s="39"/>
      <c r="E73" s="40">
        <f t="shared" ref="E73" si="23">+H37-C73</f>
        <v>1000</v>
      </c>
      <c r="F73" s="40">
        <f t="shared" ref="F73" si="24">+I37-C73</f>
        <v>1000</v>
      </c>
      <c r="G73" s="40">
        <f t="shared" ref="G73" si="25">+J37-C73</f>
        <v>1000</v>
      </c>
      <c r="H73" s="40"/>
      <c r="I73" s="40"/>
      <c r="J73" s="40"/>
      <c r="K73" s="41">
        <f t="shared" ref="K73:K79" si="26">C73+E73+H73</f>
        <v>1990</v>
      </c>
      <c r="L73" s="41">
        <f t="shared" ref="L73:L75" si="27">C73+F73+I73</f>
        <v>1990</v>
      </c>
      <c r="M73" s="41">
        <f t="shared" ref="M73:M75" si="28">C73+G73+J73</f>
        <v>1990</v>
      </c>
      <c r="N73" s="40"/>
      <c r="O73" s="40"/>
      <c r="P73" s="40"/>
      <c r="Q73" s="43">
        <f t="shared" ref="Q73:Q74" si="29">K73+N73</f>
        <v>1990</v>
      </c>
      <c r="R73" s="43">
        <f t="shared" ref="R73:R74" si="30">L73+O73</f>
        <v>1990</v>
      </c>
      <c r="S73" s="43">
        <f t="shared" ref="S73:S74" si="31">M73+P73</f>
        <v>1990</v>
      </c>
    </row>
    <row r="74" spans="2:19" x14ac:dyDescent="0.25">
      <c r="B74" s="22" t="s">
        <v>120</v>
      </c>
      <c r="C74" s="39">
        <v>10835.9</v>
      </c>
      <c r="D74" s="39"/>
      <c r="E74" s="40">
        <f>+(F39*36)-C74</f>
        <v>4767.7960000000003</v>
      </c>
      <c r="F74" s="40">
        <f>+(F39*36)-C74</f>
        <v>4767.7960000000003</v>
      </c>
      <c r="G74" s="40">
        <f>+(F39*36)-C74</f>
        <v>4767.7960000000003</v>
      </c>
      <c r="H74" s="40">
        <f>+(H39-F39)*36</f>
        <v>13241.304</v>
      </c>
      <c r="I74" s="40">
        <f>+(I39-F39)*36</f>
        <v>13241.304</v>
      </c>
      <c r="J74" s="40">
        <f>+(J39-F39)*36</f>
        <v>13241.304</v>
      </c>
      <c r="K74" s="41">
        <f t="shared" si="26"/>
        <v>28845</v>
      </c>
      <c r="L74" s="41">
        <f t="shared" si="27"/>
        <v>28845</v>
      </c>
      <c r="M74" s="41">
        <f t="shared" si="28"/>
        <v>28845</v>
      </c>
      <c r="N74" s="40"/>
      <c r="O74" s="40"/>
      <c r="P74" s="40"/>
      <c r="Q74" s="43">
        <f t="shared" si="29"/>
        <v>28845</v>
      </c>
      <c r="R74" s="43">
        <f t="shared" si="30"/>
        <v>28845</v>
      </c>
      <c r="S74" s="43">
        <f t="shared" si="31"/>
        <v>28845</v>
      </c>
    </row>
    <row r="75" spans="2:19" ht="27" x14ac:dyDescent="0.25">
      <c r="B75" s="22" t="s">
        <v>122</v>
      </c>
      <c r="C75" s="39">
        <v>120</v>
      </c>
      <c r="D75" s="39"/>
      <c r="E75" s="40">
        <f>+I40-C75</f>
        <v>0</v>
      </c>
      <c r="F75" s="40">
        <f>+I40-C75</f>
        <v>0</v>
      </c>
      <c r="G75" s="40">
        <f>+J40-C75</f>
        <v>0</v>
      </c>
      <c r="H75" s="40"/>
      <c r="I75" s="40"/>
      <c r="J75" s="40"/>
      <c r="K75" s="41">
        <f t="shared" si="26"/>
        <v>120</v>
      </c>
      <c r="L75" s="41">
        <f t="shared" si="27"/>
        <v>120</v>
      </c>
      <c r="M75" s="41">
        <f t="shared" si="28"/>
        <v>120</v>
      </c>
      <c r="N75" s="40"/>
      <c r="O75" s="40"/>
      <c r="P75" s="40"/>
      <c r="Q75" s="43">
        <f t="shared" ref="Q75:Q80" si="32">K75+N75</f>
        <v>120</v>
      </c>
      <c r="R75" s="43">
        <f t="shared" ref="R75:R80" si="33">L75+O75</f>
        <v>120</v>
      </c>
      <c r="S75" s="43">
        <f t="shared" ref="S75:S80" si="34">M75+P75</f>
        <v>120</v>
      </c>
    </row>
    <row r="76" spans="2:19" ht="27" x14ac:dyDescent="0.25">
      <c r="B76" s="22" t="s">
        <v>123</v>
      </c>
      <c r="C76" s="39">
        <v>500</v>
      </c>
      <c r="D76" s="39"/>
      <c r="E76" s="40">
        <f t="shared" ref="E76:E77" si="35">+I41-C76</f>
        <v>480</v>
      </c>
      <c r="F76" s="40">
        <f t="shared" ref="F76:F77" si="36">+I41-C76</f>
        <v>480</v>
      </c>
      <c r="G76" s="40">
        <f t="shared" ref="G76:G77" si="37">+J41-C76</f>
        <v>480</v>
      </c>
      <c r="H76" s="40"/>
      <c r="I76" s="40"/>
      <c r="J76" s="40"/>
      <c r="K76" s="41">
        <f t="shared" ref="K76:K78" si="38">C76+E76+H76</f>
        <v>980</v>
      </c>
      <c r="L76" s="41">
        <f t="shared" ref="L76:L78" si="39">C76+F76+I76</f>
        <v>980</v>
      </c>
      <c r="M76" s="41">
        <f t="shared" ref="M76:M78" si="40">C76+G76+J76</f>
        <v>980</v>
      </c>
      <c r="N76" s="40"/>
      <c r="O76" s="40"/>
      <c r="P76" s="40"/>
      <c r="Q76" s="43">
        <f t="shared" ref="Q76:Q78" si="41">K76+N76</f>
        <v>980</v>
      </c>
      <c r="R76" s="43">
        <f t="shared" ref="R76:R78" si="42">L76+O76</f>
        <v>980</v>
      </c>
      <c r="S76" s="43">
        <f t="shared" ref="S76:S78" si="43">M76+P76</f>
        <v>980</v>
      </c>
    </row>
    <row r="77" spans="2:19" ht="27" x14ac:dyDescent="0.25">
      <c r="B77" s="22" t="s">
        <v>124</v>
      </c>
      <c r="C77" s="39">
        <v>980</v>
      </c>
      <c r="D77" s="39"/>
      <c r="E77" s="40">
        <f t="shared" si="35"/>
        <v>1000</v>
      </c>
      <c r="F77" s="40">
        <f t="shared" si="36"/>
        <v>1000</v>
      </c>
      <c r="G77" s="40">
        <f t="shared" si="37"/>
        <v>1000</v>
      </c>
      <c r="H77" s="40"/>
      <c r="I77" s="40"/>
      <c r="J77" s="40"/>
      <c r="K77" s="41">
        <f t="shared" si="38"/>
        <v>1980</v>
      </c>
      <c r="L77" s="41">
        <f t="shared" si="39"/>
        <v>1980</v>
      </c>
      <c r="M77" s="41">
        <f t="shared" si="40"/>
        <v>1980</v>
      </c>
      <c r="N77" s="40"/>
      <c r="O77" s="40"/>
      <c r="P77" s="40"/>
      <c r="Q77" s="43">
        <f t="shared" si="41"/>
        <v>1980</v>
      </c>
      <c r="R77" s="43">
        <f t="shared" si="42"/>
        <v>1980</v>
      </c>
      <c r="S77" s="43">
        <f t="shared" si="43"/>
        <v>1980</v>
      </c>
    </row>
    <row r="78" spans="2:19" x14ac:dyDescent="0.25">
      <c r="B78" s="22" t="s">
        <v>125</v>
      </c>
      <c r="C78" s="39">
        <v>45070.7</v>
      </c>
      <c r="D78" s="39">
        <v>45070.6</v>
      </c>
      <c r="E78" s="40">
        <f t="shared" ref="E78:E79" si="44">+I43-C78</f>
        <v>34931.800000000003</v>
      </c>
      <c r="F78" s="40">
        <f t="shared" ref="F78:F79" si="45">+I43-C78</f>
        <v>34931.800000000003</v>
      </c>
      <c r="G78" s="40">
        <f t="shared" ref="G78:G79" si="46">+J43-C78</f>
        <v>34931.800000000003</v>
      </c>
      <c r="H78" s="40"/>
      <c r="I78" s="40"/>
      <c r="J78" s="40"/>
      <c r="K78" s="41">
        <f t="shared" si="38"/>
        <v>80002.5</v>
      </c>
      <c r="L78" s="41">
        <f t="shared" si="39"/>
        <v>80002.5</v>
      </c>
      <c r="M78" s="41">
        <f t="shared" si="40"/>
        <v>80002.5</v>
      </c>
      <c r="N78" s="40"/>
      <c r="O78" s="40"/>
      <c r="P78" s="40"/>
      <c r="Q78" s="43">
        <f t="shared" si="41"/>
        <v>80002.5</v>
      </c>
      <c r="R78" s="43">
        <f t="shared" si="42"/>
        <v>80002.5</v>
      </c>
      <c r="S78" s="43">
        <f t="shared" si="43"/>
        <v>80002.5</v>
      </c>
    </row>
    <row r="79" spans="2:19" x14ac:dyDescent="0.25">
      <c r="B79" s="22" t="s">
        <v>126</v>
      </c>
      <c r="C79" s="39">
        <v>1000</v>
      </c>
      <c r="D79" s="39"/>
      <c r="E79" s="40">
        <f t="shared" si="44"/>
        <v>0</v>
      </c>
      <c r="F79" s="40">
        <f t="shared" si="45"/>
        <v>0</v>
      </c>
      <c r="G79" s="40">
        <f t="shared" si="46"/>
        <v>0</v>
      </c>
      <c r="H79" s="40"/>
      <c r="I79" s="40"/>
      <c r="J79" s="40"/>
      <c r="K79" s="41">
        <f t="shared" si="26"/>
        <v>1000</v>
      </c>
      <c r="L79" s="41">
        <f>C79+F79+I79</f>
        <v>1000</v>
      </c>
      <c r="M79" s="41">
        <f>C79+G79+J79</f>
        <v>1000</v>
      </c>
      <c r="N79" s="40"/>
      <c r="O79" s="40"/>
      <c r="P79" s="40"/>
      <c r="Q79" s="43">
        <f t="shared" si="32"/>
        <v>1000</v>
      </c>
      <c r="R79" s="43">
        <f t="shared" si="33"/>
        <v>1000</v>
      </c>
      <c r="S79" s="43">
        <f t="shared" si="34"/>
        <v>1000</v>
      </c>
    </row>
    <row r="80" spans="2:19" x14ac:dyDescent="0.25">
      <c r="B80" s="22"/>
      <c r="C80" s="39"/>
      <c r="D80" s="39"/>
      <c r="E80" s="40"/>
      <c r="F80" s="40"/>
      <c r="G80" s="40"/>
      <c r="H80" s="40"/>
      <c r="I80" s="40"/>
      <c r="J80" s="40"/>
      <c r="K80" s="41">
        <f t="shared" ref="K80" si="47">C80+E80+H80</f>
        <v>0</v>
      </c>
      <c r="L80" s="41">
        <f t="shared" ref="L80" si="48">C80+F80+I80</f>
        <v>0</v>
      </c>
      <c r="M80" s="41">
        <f t="shared" ref="M80" si="49">C80+G80+J80</f>
        <v>0</v>
      </c>
      <c r="N80" s="40"/>
      <c r="O80" s="40"/>
      <c r="P80" s="40"/>
      <c r="Q80" s="43">
        <f t="shared" si="32"/>
        <v>0</v>
      </c>
      <c r="R80" s="43">
        <f t="shared" si="33"/>
        <v>0</v>
      </c>
      <c r="S80" s="43">
        <f t="shared" si="34"/>
        <v>0</v>
      </c>
    </row>
    <row r="81" spans="2:19" ht="28.5" x14ac:dyDescent="0.25">
      <c r="B81" s="18" t="s">
        <v>73</v>
      </c>
      <c r="C81" s="39">
        <f>+C60+C61+C62+C63+C64+C65+C66+C67+C68+C69+C70+C71+C72+C73+C74+C75+C76+C77+C79</f>
        <v>280756.81000000006</v>
      </c>
      <c r="D81" s="39">
        <f>+D60+D61+D62+D63+D64+D65+D66+D67+D68+D69+D70+D71+D72+D73+D74+D75+D76+D77+D79</f>
        <v>225353.3</v>
      </c>
      <c r="E81" s="41">
        <f>SUM(E60:E80)</f>
        <v>62921.980918999994</v>
      </c>
      <c r="F81" s="41">
        <f t="shared" ref="F81:J81" si="50">SUM(F60:F80)</f>
        <v>62921.980918999994</v>
      </c>
      <c r="G81" s="41">
        <f t="shared" si="50"/>
        <v>62921.980918999994</v>
      </c>
      <c r="H81" s="41">
        <f t="shared" si="50"/>
        <v>78469.524141000002</v>
      </c>
      <c r="I81" s="41">
        <f t="shared" si="50"/>
        <v>78469.524141000002</v>
      </c>
      <c r="J81" s="41">
        <f t="shared" si="50"/>
        <v>78469.524141000002</v>
      </c>
      <c r="K81" s="41">
        <f>C81+E81+H81</f>
        <v>422148.31506000005</v>
      </c>
      <c r="L81" s="41">
        <f>C81+F81+I81</f>
        <v>422148.31506000005</v>
      </c>
      <c r="M81" s="41">
        <f>C81+G81+J81</f>
        <v>422148.31506000005</v>
      </c>
      <c r="N81" s="42" t="s">
        <v>2</v>
      </c>
      <c r="O81" s="42" t="s">
        <v>2</v>
      </c>
      <c r="P81" s="42" t="s">
        <v>2</v>
      </c>
      <c r="Q81" s="43" t="s">
        <v>2</v>
      </c>
      <c r="R81" s="43" t="s">
        <v>2</v>
      </c>
      <c r="S81" s="43" t="s">
        <v>2</v>
      </c>
    </row>
    <row r="82" spans="2:19" ht="28.5" x14ac:dyDescent="0.25">
      <c r="B82" s="18" t="s">
        <v>60</v>
      </c>
      <c r="C82" s="39">
        <f>+C78</f>
        <v>45070.7</v>
      </c>
      <c r="D82" s="39">
        <f>+D78</f>
        <v>45070.6</v>
      </c>
      <c r="E82" s="41" t="s">
        <v>72</v>
      </c>
      <c r="F82" s="41" t="s">
        <v>72</v>
      </c>
      <c r="G82" s="41" t="s">
        <v>72</v>
      </c>
      <c r="H82" s="41" t="s">
        <v>72</v>
      </c>
      <c r="I82" s="41" t="s">
        <v>72</v>
      </c>
      <c r="J82" s="41" t="s">
        <v>72</v>
      </c>
      <c r="K82" s="41">
        <f>C82</f>
        <v>45070.7</v>
      </c>
      <c r="L82" s="41">
        <f>C82</f>
        <v>45070.7</v>
      </c>
      <c r="M82" s="41">
        <f>C82</f>
        <v>45070.7</v>
      </c>
      <c r="N82" s="42" t="s">
        <v>2</v>
      </c>
      <c r="O82" s="42" t="s">
        <v>2</v>
      </c>
      <c r="P82" s="42" t="s">
        <v>2</v>
      </c>
      <c r="Q82" s="43" t="s">
        <v>2</v>
      </c>
      <c r="R82" s="43" t="s">
        <v>2</v>
      </c>
      <c r="S82" s="43" t="s">
        <v>2</v>
      </c>
    </row>
    <row r="83" spans="2:19" s="254" customFormat="1" ht="15.75" x14ac:dyDescent="0.2">
      <c r="B83" s="250" t="s">
        <v>699</v>
      </c>
      <c r="C83" s="251">
        <f>SUM(C60:C80)</f>
        <v>325827.51000000007</v>
      </c>
      <c r="D83" s="300">
        <f>SUM(D60:D80)</f>
        <v>270423.89999999997</v>
      </c>
      <c r="E83" s="251">
        <f>E81</f>
        <v>62921.980918999994</v>
      </c>
      <c r="F83" s="251">
        <f t="shared" ref="F83:J83" si="51">F81</f>
        <v>62921.980918999994</v>
      </c>
      <c r="G83" s="251">
        <f t="shared" si="51"/>
        <v>62921.980918999994</v>
      </c>
      <c r="H83" s="251">
        <f t="shared" si="51"/>
        <v>78469.524141000002</v>
      </c>
      <c r="I83" s="251">
        <f t="shared" si="51"/>
        <v>78469.524141000002</v>
      </c>
      <c r="J83" s="251">
        <f t="shared" si="51"/>
        <v>78469.524141000002</v>
      </c>
      <c r="K83" s="252">
        <f>K81+K82</f>
        <v>467219.01506000006</v>
      </c>
      <c r="L83" s="252">
        <f t="shared" ref="L83:M83" si="52">L81+L82</f>
        <v>467219.01506000006</v>
      </c>
      <c r="M83" s="252">
        <f t="shared" si="52"/>
        <v>467219.01506000006</v>
      </c>
      <c r="N83" s="252">
        <f>SUM(N60:N80)</f>
        <v>0</v>
      </c>
      <c r="O83" s="252">
        <f t="shared" ref="O83:P83" si="53">SUM(O60:O80)</f>
        <v>0</v>
      </c>
      <c r="P83" s="252">
        <f t="shared" si="53"/>
        <v>0</v>
      </c>
      <c r="Q83" s="253">
        <f>K83+N83</f>
        <v>467219.01506000006</v>
      </c>
      <c r="R83" s="253">
        <f>L83+O83</f>
        <v>467219.01506000006</v>
      </c>
      <c r="S83" s="253">
        <f>M83+P83</f>
        <v>467219.01506000006</v>
      </c>
    </row>
    <row r="84" spans="2:19" x14ac:dyDescent="0.25">
      <c r="E84" s="84"/>
    </row>
    <row r="85" spans="2:19" x14ac:dyDescent="0.25">
      <c r="K85" s="36"/>
    </row>
  </sheetData>
  <mergeCells count="21">
    <mergeCell ref="K23:K24"/>
    <mergeCell ref="B19:B20"/>
    <mergeCell ref="B26:B27"/>
    <mergeCell ref="B38:B39"/>
    <mergeCell ref="B28:B29"/>
    <mergeCell ref="B21:B22"/>
    <mergeCell ref="B23:B24"/>
    <mergeCell ref="K21:K22"/>
    <mergeCell ref="N58:P58"/>
    <mergeCell ref="Q58:S58"/>
    <mergeCell ref="B54:E54"/>
    <mergeCell ref="B58:B59"/>
    <mergeCell ref="E58:G58"/>
    <mergeCell ref="H58:J58"/>
    <mergeCell ref="K58:M58"/>
    <mergeCell ref="K17:K18"/>
    <mergeCell ref="B17:B18"/>
    <mergeCell ref="C17:C18"/>
    <mergeCell ref="D17:D18"/>
    <mergeCell ref="E17:E18"/>
    <mergeCell ref="F17:J17"/>
  </mergeCells>
  <dataValidations count="4">
    <dataValidation type="list" allowBlank="1" showInputMessage="1" showErrorMessage="1" sqref="B13" xr:uid="{00000000-0002-0000-0100-000000000000}">
      <formula1>$U$2:$U$4</formula1>
    </dataValidation>
    <dataValidation type="custom" allowBlank="1" showInputMessage="1" showErrorMessage="1" sqref="N60:P80" xr:uid="{00000000-0002-0000-0100-000001000000}">
      <formula1>"-"</formula1>
    </dataValidation>
    <dataValidation showInputMessage="1" showErrorMessage="1" sqref="E19:E44" xr:uid="{00000000-0002-0000-0100-000002000000}"/>
    <dataValidation type="list" allowBlank="1" showInputMessage="1" showErrorMessage="1" sqref="D19:D44" xr:uid="{00000000-0002-0000-0100-000003000000}">
      <formula1>$V$2:$V$3</formula1>
    </dataValidation>
  </dataValidations>
  <hyperlinks>
    <hyperlink ref="C12" location="_ftn1" display="_ftn1" xr:uid="{00000000-0004-0000-0100-000000000000}"/>
    <hyperlink ref="D12" location="_ftn2" display="_ftn2" xr:uid="{00000000-0004-0000-0100-000001000000}"/>
    <hyperlink ref="E12" location="_ftn3" display="_ftn3" xr:uid="{00000000-0004-0000-0100-000002000000}"/>
  </hyperlinks>
  <printOptions horizontalCentered="1"/>
  <pageMargins left="0.2" right="0.2" top="0.5" bottom="0.5" header="0.3" footer="0.3"/>
  <pageSetup paperSize="9" scale="8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1</xdr:col>
                    <xdr:colOff>85725</xdr:colOff>
                    <xdr:row>50</xdr:row>
                    <xdr:rowOff>0</xdr:rowOff>
                  </from>
                  <to>
                    <xdr:col>2</xdr:col>
                    <xdr:colOff>1085850</xdr:colOff>
                    <xdr:row>51</xdr:row>
                    <xdr:rowOff>28575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1</xdr:col>
                    <xdr:colOff>85725</xdr:colOff>
                    <xdr:row>47</xdr:row>
                    <xdr:rowOff>171450</xdr:rowOff>
                  </from>
                  <to>
                    <xdr:col>3</xdr:col>
                    <xdr:colOff>19050</xdr:colOff>
                    <xdr:row>49</xdr:row>
                    <xdr:rowOff>28575</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1</xdr:col>
                    <xdr:colOff>85725</xdr:colOff>
                    <xdr:row>49</xdr:row>
                    <xdr:rowOff>28575</xdr:rowOff>
                  </from>
                  <to>
                    <xdr:col>3</xdr:col>
                    <xdr:colOff>19050</xdr:colOff>
                    <xdr:row>50</xdr:row>
                    <xdr:rowOff>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95250</xdr:colOff>
                    <xdr:row>51</xdr:row>
                    <xdr:rowOff>9525</xdr:rowOff>
                  </from>
                  <to>
                    <xdr:col>2</xdr:col>
                    <xdr:colOff>485775</xdr:colOff>
                    <xdr:row>52</xdr:row>
                    <xdr:rowOff>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164A3-FE07-4705-91E8-A8AFA5785ED6}">
  <dimension ref="A1:W49"/>
  <sheetViews>
    <sheetView topLeftCell="D28" workbookViewId="0">
      <selection activeCell="R46" sqref="R46"/>
    </sheetView>
  </sheetViews>
  <sheetFormatPr defaultRowHeight="15" x14ac:dyDescent="0.25"/>
  <cols>
    <col min="1" max="1" width="6" customWidth="1"/>
    <col min="2" max="2" width="45.7109375" customWidth="1"/>
    <col min="3" max="3" width="18" customWidth="1"/>
    <col min="4" max="4" width="15.42578125" customWidth="1"/>
    <col min="5" max="5" width="12.7109375" customWidth="1"/>
    <col min="6" max="10" width="18.85546875" customWidth="1"/>
    <col min="11" max="11" width="46.5703125" customWidth="1"/>
    <col min="12" max="12" width="15.140625" customWidth="1"/>
    <col min="13" max="13" width="12" customWidth="1"/>
    <col min="14" max="14" width="9.5703125" customWidth="1"/>
    <col min="15" max="15" width="8.140625" customWidth="1"/>
    <col min="16" max="16" width="8"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1"/>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54.75" customHeight="1" x14ac:dyDescent="0.25">
      <c r="B5" s="25" t="s">
        <v>79</v>
      </c>
      <c r="C5" s="182">
        <v>1165</v>
      </c>
      <c r="E5" s="25" t="s">
        <v>83</v>
      </c>
      <c r="F5" s="53">
        <v>2022</v>
      </c>
      <c r="H5" s="3"/>
      <c r="I5" s="3"/>
      <c r="J5" s="3"/>
    </row>
    <row r="6" spans="1:23" ht="60.75" customHeight="1" x14ac:dyDescent="0.25">
      <c r="B6" s="25" t="s">
        <v>80</v>
      </c>
      <c r="C6" s="53" t="s">
        <v>653</v>
      </c>
      <c r="E6" s="25" t="s">
        <v>84</v>
      </c>
      <c r="F6" s="182">
        <v>2026</v>
      </c>
      <c r="H6" s="3"/>
      <c r="I6" s="3"/>
      <c r="J6" s="3"/>
    </row>
    <row r="7" spans="1:23" ht="18" customHeight="1" x14ac:dyDescent="0.25">
      <c r="B7" s="25" t="s">
        <v>81</v>
      </c>
      <c r="C7" s="182">
        <v>11002</v>
      </c>
      <c r="H7" s="3"/>
      <c r="I7" s="3"/>
      <c r="J7" s="3"/>
    </row>
    <row r="8" spans="1:23" ht="149.25" customHeight="1" x14ac:dyDescent="0.25">
      <c r="B8" s="25" t="s">
        <v>82</v>
      </c>
      <c r="C8" s="29" t="s">
        <v>654</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136.5" x14ac:dyDescent="0.25">
      <c r="B12" s="10" t="s">
        <v>85</v>
      </c>
      <c r="C12" s="28" t="s">
        <v>86</v>
      </c>
      <c r="D12" s="28" t="s">
        <v>87</v>
      </c>
      <c r="E12" s="28" t="s">
        <v>88</v>
      </c>
      <c r="F12" s="3"/>
      <c r="G12" s="3"/>
      <c r="H12" s="3"/>
      <c r="I12" s="3"/>
      <c r="J12" s="3"/>
    </row>
    <row r="13" spans="1:23" ht="17.25" x14ac:dyDescent="0.3">
      <c r="B13" s="21" t="s">
        <v>48</v>
      </c>
      <c r="C13" s="21"/>
      <c r="D13" s="21"/>
      <c r="E13" s="21"/>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15" customHeight="1" x14ac:dyDescent="0.25">
      <c r="B17" s="365" t="s">
        <v>89</v>
      </c>
      <c r="C17" s="365" t="s">
        <v>90</v>
      </c>
      <c r="D17" s="365" t="s">
        <v>91</v>
      </c>
      <c r="E17" s="365" t="s">
        <v>92</v>
      </c>
      <c r="F17" s="364" t="s">
        <v>93</v>
      </c>
      <c r="G17" s="364"/>
      <c r="H17" s="364"/>
      <c r="I17" s="364"/>
      <c r="J17" s="364"/>
      <c r="K17" s="364" t="s">
        <v>94</v>
      </c>
    </row>
    <row r="18" spans="1:11" ht="65.25" customHeight="1" x14ac:dyDescent="0.25">
      <c r="B18" s="365"/>
      <c r="C18" s="365"/>
      <c r="D18" s="365"/>
      <c r="E18" s="365"/>
      <c r="F18" s="27" t="s">
        <v>51</v>
      </c>
      <c r="G18" s="27" t="s">
        <v>52</v>
      </c>
      <c r="H18" s="27" t="s">
        <v>0</v>
      </c>
      <c r="I18" s="27" t="s">
        <v>1</v>
      </c>
      <c r="J18" s="27" t="s">
        <v>3</v>
      </c>
      <c r="K18" s="364"/>
    </row>
    <row r="19" spans="1:11" ht="126.75" customHeight="1" x14ac:dyDescent="0.25">
      <c r="B19" s="226" t="s">
        <v>655</v>
      </c>
      <c r="C19" s="226" t="s">
        <v>117</v>
      </c>
      <c r="D19" s="227" t="s">
        <v>47</v>
      </c>
      <c r="E19" s="227" t="s">
        <v>308</v>
      </c>
      <c r="F19" s="227">
        <v>1</v>
      </c>
      <c r="G19" s="227">
        <v>5</v>
      </c>
      <c r="H19" s="227">
        <v>7</v>
      </c>
      <c r="I19" s="227">
        <v>9</v>
      </c>
      <c r="J19" s="227">
        <v>11</v>
      </c>
      <c r="K19" s="228" t="s">
        <v>771</v>
      </c>
    </row>
    <row r="20" spans="1:11" ht="126.75" customHeight="1" x14ac:dyDescent="0.25">
      <c r="B20" s="226" t="s">
        <v>656</v>
      </c>
      <c r="C20" s="226" t="s">
        <v>117</v>
      </c>
      <c r="D20" s="227" t="s">
        <v>47</v>
      </c>
      <c r="E20" s="227" t="s">
        <v>308</v>
      </c>
      <c r="F20" s="227">
        <v>0</v>
      </c>
      <c r="G20" s="227">
        <v>4</v>
      </c>
      <c r="H20" s="227">
        <v>6</v>
      </c>
      <c r="I20" s="227">
        <v>8</v>
      </c>
      <c r="J20" s="227">
        <v>10</v>
      </c>
      <c r="K20" s="229" t="s">
        <v>772</v>
      </c>
    </row>
    <row r="21" spans="1:11" ht="126.75" customHeight="1" x14ac:dyDescent="0.25">
      <c r="B21" s="226" t="s">
        <v>657</v>
      </c>
      <c r="C21" s="226" t="s">
        <v>117</v>
      </c>
      <c r="D21" s="227" t="s">
        <v>47</v>
      </c>
      <c r="E21" s="227" t="s">
        <v>308</v>
      </c>
      <c r="F21" s="227">
        <v>4</v>
      </c>
      <c r="G21" s="227">
        <v>7</v>
      </c>
      <c r="H21" s="227">
        <v>14</v>
      </c>
      <c r="I21" s="227">
        <v>16</v>
      </c>
      <c r="J21" s="227">
        <v>19</v>
      </c>
      <c r="K21" s="229" t="s">
        <v>658</v>
      </c>
    </row>
    <row r="22" spans="1:11" ht="17.25" x14ac:dyDescent="0.25">
      <c r="B22" s="3"/>
      <c r="C22" s="3"/>
      <c r="D22" s="3"/>
      <c r="E22" s="3"/>
      <c r="F22" s="3"/>
      <c r="G22" s="3"/>
      <c r="H22" s="3"/>
      <c r="I22" s="3"/>
      <c r="J22" s="3"/>
    </row>
    <row r="23" spans="1:11" ht="15.75" x14ac:dyDescent="0.25">
      <c r="A23" s="12" t="s">
        <v>53</v>
      </c>
      <c r="C23" s="13"/>
      <c r="D23" s="13"/>
      <c r="E23" s="13"/>
      <c r="F23" s="13"/>
      <c r="G23" s="13"/>
      <c r="H23" s="13"/>
      <c r="I23" s="13"/>
      <c r="J23" s="13"/>
    </row>
    <row r="24" spans="1:11" x14ac:dyDescent="0.25">
      <c r="A24" s="12"/>
      <c r="C24" s="15"/>
      <c r="D24" s="15"/>
      <c r="E24" s="15"/>
      <c r="F24" s="15"/>
      <c r="G24" s="15"/>
      <c r="H24" s="15"/>
      <c r="I24" s="15"/>
      <c r="J24" s="15"/>
    </row>
    <row r="25" spans="1:11" x14ac:dyDescent="0.25">
      <c r="A25" s="16" t="s">
        <v>54</v>
      </c>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B29" s="17"/>
      <c r="C29" s="17"/>
      <c r="D29" s="17"/>
      <c r="E29" s="13"/>
      <c r="F29" s="13"/>
      <c r="G29" s="13"/>
      <c r="H29" s="13"/>
      <c r="I29" s="13"/>
      <c r="J29" s="13"/>
    </row>
    <row r="30" spans="1:11" x14ac:dyDescent="0.25">
      <c r="A30" s="16" t="s">
        <v>55</v>
      </c>
      <c r="E30" s="13"/>
      <c r="F30" s="13"/>
      <c r="G30" s="13"/>
      <c r="H30" s="13"/>
      <c r="I30" s="13"/>
      <c r="J30" s="13"/>
    </row>
    <row r="31" spans="1:11" ht="62.25" customHeight="1" x14ac:dyDescent="0.25">
      <c r="B31" s="360"/>
      <c r="C31" s="361"/>
      <c r="D31" s="361"/>
      <c r="E31" s="362"/>
      <c r="F31" s="13"/>
      <c r="G31" s="13"/>
      <c r="H31" s="13"/>
      <c r="I31" s="13"/>
      <c r="J31" s="13"/>
    </row>
    <row r="32" spans="1:11" ht="17.25" x14ac:dyDescent="0.25">
      <c r="B32" s="3"/>
      <c r="C32" s="3"/>
      <c r="D32" s="3"/>
      <c r="E32" s="13"/>
      <c r="F32" s="13"/>
      <c r="G32" s="13"/>
      <c r="H32" s="13"/>
      <c r="I32" s="13"/>
      <c r="J32" s="13"/>
    </row>
    <row r="33" spans="1:20" x14ac:dyDescent="0.25">
      <c r="A33" s="7" t="s">
        <v>56</v>
      </c>
    </row>
    <row r="35" spans="1:20" ht="53.25" customHeight="1" x14ac:dyDescent="0.25">
      <c r="B35" s="363" t="s">
        <v>95</v>
      </c>
      <c r="C35" s="4" t="s">
        <v>96</v>
      </c>
      <c r="D35" s="4" t="s">
        <v>97</v>
      </c>
      <c r="E35" s="358" t="s">
        <v>98</v>
      </c>
      <c r="F35" s="358"/>
      <c r="G35" s="358"/>
      <c r="H35" s="358" t="s">
        <v>99</v>
      </c>
      <c r="I35" s="358"/>
      <c r="J35" s="358"/>
      <c r="K35" s="358" t="s">
        <v>100</v>
      </c>
      <c r="L35" s="358"/>
      <c r="M35" s="358"/>
      <c r="N35" s="358" t="s">
        <v>101</v>
      </c>
      <c r="O35" s="358"/>
      <c r="P35" s="358"/>
      <c r="Q35" s="359" t="s">
        <v>102</v>
      </c>
      <c r="R35" s="359"/>
      <c r="S35" s="359"/>
    </row>
    <row r="36" spans="1:20" ht="30" customHeight="1" x14ac:dyDescent="0.25">
      <c r="B36" s="363"/>
      <c r="C36" s="193" t="s">
        <v>35</v>
      </c>
      <c r="D36" s="193" t="s">
        <v>36</v>
      </c>
      <c r="E36" s="19" t="s">
        <v>0</v>
      </c>
      <c r="F36" s="19" t="s">
        <v>1</v>
      </c>
      <c r="G36" s="19" t="s">
        <v>3</v>
      </c>
      <c r="H36" s="19" t="s">
        <v>0</v>
      </c>
      <c r="I36" s="19" t="s">
        <v>1</v>
      </c>
      <c r="J36" s="19" t="s">
        <v>3</v>
      </c>
      <c r="K36" s="19" t="s">
        <v>39</v>
      </c>
      <c r="L36" s="19" t="s">
        <v>38</v>
      </c>
      <c r="M36" s="19" t="s">
        <v>37</v>
      </c>
      <c r="N36" s="19" t="s">
        <v>39</v>
      </c>
      <c r="O36" s="19" t="s">
        <v>38</v>
      </c>
      <c r="P36" s="19" t="s">
        <v>37</v>
      </c>
      <c r="Q36" s="194" t="s">
        <v>0</v>
      </c>
      <c r="R36" s="26" t="s">
        <v>1</v>
      </c>
      <c r="S36" s="26" t="s">
        <v>3</v>
      </c>
    </row>
    <row r="37" spans="1:20" ht="68.25" customHeight="1" x14ac:dyDescent="0.25">
      <c r="B37" s="230" t="s">
        <v>659</v>
      </c>
      <c r="C37" s="231">
        <v>19705.925999999999</v>
      </c>
      <c r="D37" s="231">
        <v>30000</v>
      </c>
      <c r="E37" s="231"/>
      <c r="F37" s="231"/>
      <c r="G37" s="231"/>
      <c r="H37" s="231">
        <v>12000</v>
      </c>
      <c r="I37" s="231">
        <v>24000</v>
      </c>
      <c r="J37" s="231">
        <v>36000</v>
      </c>
      <c r="K37" s="176">
        <f>+D37+E37+H37</f>
        <v>42000</v>
      </c>
      <c r="L37" s="176">
        <f>+D37+I37+F37</f>
        <v>54000</v>
      </c>
      <c r="M37" s="176">
        <f>+D37+G37+J37</f>
        <v>66000</v>
      </c>
      <c r="N37" s="23"/>
      <c r="O37" s="23"/>
      <c r="P37" s="23"/>
      <c r="Q37" s="194">
        <f>K37+N37</f>
        <v>42000</v>
      </c>
      <c r="R37" s="26">
        <f>L37+O37</f>
        <v>54000</v>
      </c>
      <c r="S37" s="26">
        <f>M37+P37</f>
        <v>66000</v>
      </c>
      <c r="T37" s="196"/>
    </row>
    <row r="38" spans="1:20" ht="78" customHeight="1" x14ac:dyDescent="0.25">
      <c r="B38" s="189" t="s">
        <v>660</v>
      </c>
      <c r="C38" s="231">
        <v>0</v>
      </c>
      <c r="D38" s="231">
        <v>10000</v>
      </c>
      <c r="E38" s="231"/>
      <c r="F38" s="231"/>
      <c r="G38" s="231"/>
      <c r="H38" s="231">
        <v>5000</v>
      </c>
      <c r="I38" s="231">
        <v>10000</v>
      </c>
      <c r="J38" s="231">
        <v>15000</v>
      </c>
      <c r="K38" s="176">
        <f t="shared" ref="K38:K41" si="0">+D38+E38+H38</f>
        <v>15000</v>
      </c>
      <c r="L38" s="176">
        <f t="shared" ref="L38:L41" si="1">+D38+I38+F38</f>
        <v>20000</v>
      </c>
      <c r="M38" s="176">
        <f t="shared" ref="M38:M41" si="2">+D38+G38+J38</f>
        <v>25000</v>
      </c>
      <c r="N38" s="23"/>
      <c r="O38" s="23"/>
      <c r="P38" s="23"/>
      <c r="Q38" s="194">
        <f t="shared" ref="Q38:S41" si="3">K38+N38</f>
        <v>15000</v>
      </c>
      <c r="R38" s="26">
        <f t="shared" si="3"/>
        <v>20000</v>
      </c>
      <c r="S38" s="26">
        <f t="shared" si="3"/>
        <v>25000</v>
      </c>
    </row>
    <row r="39" spans="1:20" ht="57.75" customHeight="1" x14ac:dyDescent="0.25">
      <c r="B39" s="189" t="s">
        <v>661</v>
      </c>
      <c r="C39" s="231">
        <v>199928.1</v>
      </c>
      <c r="D39" s="231">
        <v>260000</v>
      </c>
      <c r="E39" s="231"/>
      <c r="F39" s="231"/>
      <c r="G39" s="231"/>
      <c r="H39" s="231">
        <v>260000</v>
      </c>
      <c r="I39" s="231">
        <v>334285.71000000002</v>
      </c>
      <c r="J39" s="231">
        <v>445714.28499999997</v>
      </c>
      <c r="K39" s="176">
        <f>+D39+E39+H39</f>
        <v>520000</v>
      </c>
      <c r="L39" s="176">
        <f t="shared" si="1"/>
        <v>594285.71</v>
      </c>
      <c r="M39" s="176">
        <f t="shared" si="2"/>
        <v>705714.28499999992</v>
      </c>
      <c r="N39" s="23"/>
      <c r="O39" s="23"/>
      <c r="P39" s="23"/>
      <c r="Q39" s="194">
        <f t="shared" si="3"/>
        <v>520000</v>
      </c>
      <c r="R39" s="26">
        <f t="shared" si="3"/>
        <v>594285.71</v>
      </c>
      <c r="S39" s="26">
        <f t="shared" si="3"/>
        <v>705714.28499999992</v>
      </c>
    </row>
    <row r="40" spans="1:20" ht="15" hidden="1" customHeight="1" x14ac:dyDescent="0.25">
      <c r="B40" s="189"/>
      <c r="C40" s="184"/>
      <c r="D40" s="184"/>
      <c r="E40" s="231"/>
      <c r="F40" s="231"/>
      <c r="G40" s="231"/>
      <c r="H40" s="231"/>
      <c r="I40" s="231"/>
      <c r="J40" s="231"/>
      <c r="K40" s="176">
        <f t="shared" si="0"/>
        <v>0</v>
      </c>
      <c r="L40" s="176">
        <f t="shared" si="1"/>
        <v>0</v>
      </c>
      <c r="M40" s="176">
        <f t="shared" si="2"/>
        <v>0</v>
      </c>
      <c r="N40" s="23"/>
      <c r="O40" s="23"/>
      <c r="P40" s="23"/>
      <c r="Q40" s="194">
        <f t="shared" si="3"/>
        <v>0</v>
      </c>
      <c r="R40" s="26">
        <f t="shared" si="3"/>
        <v>0</v>
      </c>
      <c r="S40" s="26">
        <f t="shared" si="3"/>
        <v>0</v>
      </c>
    </row>
    <row r="41" spans="1:20" ht="15" hidden="1" customHeight="1" x14ac:dyDescent="0.25">
      <c r="B41" s="189"/>
      <c r="C41" s="184"/>
      <c r="D41" s="184"/>
      <c r="E41" s="231"/>
      <c r="F41" s="231"/>
      <c r="G41" s="231"/>
      <c r="H41" s="231"/>
      <c r="I41" s="231"/>
      <c r="J41" s="231"/>
      <c r="K41" s="176">
        <f t="shared" si="0"/>
        <v>0</v>
      </c>
      <c r="L41" s="176">
        <f t="shared" si="1"/>
        <v>0</v>
      </c>
      <c r="M41" s="176">
        <f t="shared" si="2"/>
        <v>0</v>
      </c>
      <c r="N41" s="23"/>
      <c r="O41" s="23"/>
      <c r="P41" s="23"/>
      <c r="Q41" s="194">
        <f t="shared" si="3"/>
        <v>0</v>
      </c>
      <c r="R41" s="26">
        <f t="shared" si="3"/>
        <v>0</v>
      </c>
      <c r="S41" s="26">
        <f t="shared" si="3"/>
        <v>0</v>
      </c>
    </row>
    <row r="42" spans="1:20" ht="40.5" hidden="1" customHeight="1" x14ac:dyDescent="0.25">
      <c r="B42" s="188"/>
      <c r="C42" s="184"/>
      <c r="D42" s="184"/>
      <c r="E42" s="188"/>
      <c r="F42" s="188"/>
      <c r="G42" s="188"/>
      <c r="H42" s="188"/>
      <c r="I42" s="188"/>
      <c r="J42" s="188"/>
      <c r="K42" s="19"/>
      <c r="L42" s="19"/>
      <c r="M42" s="19"/>
      <c r="N42" s="23"/>
      <c r="O42" s="23"/>
      <c r="P42" s="23"/>
      <c r="Q42" s="26"/>
      <c r="R42" s="26"/>
      <c r="S42" s="26"/>
    </row>
    <row r="43" spans="1:20" ht="15" hidden="1" customHeight="1" x14ac:dyDescent="0.25">
      <c r="B43" s="22"/>
      <c r="C43" s="32"/>
      <c r="D43" s="32"/>
      <c r="E43" s="23"/>
      <c r="F43" s="23"/>
      <c r="G43" s="23"/>
      <c r="H43" s="23"/>
      <c r="I43" s="23"/>
      <c r="J43" s="23"/>
      <c r="K43" s="19"/>
      <c r="L43" s="19"/>
      <c r="M43" s="19"/>
      <c r="N43" s="23"/>
      <c r="O43" s="23"/>
      <c r="P43" s="23"/>
      <c r="Q43" s="26">
        <f t="shared" ref="Q43:S43" si="4">K43+N43</f>
        <v>0</v>
      </c>
      <c r="R43" s="26">
        <f t="shared" si="4"/>
        <v>0</v>
      </c>
      <c r="S43" s="26">
        <f t="shared" si="4"/>
        <v>0</v>
      </c>
    </row>
    <row r="44" spans="1:20" ht="28.5" x14ac:dyDescent="0.25">
      <c r="B44" s="18" t="s">
        <v>73</v>
      </c>
      <c r="C44" s="139">
        <f>+C37+C38+C39+C40+C41+C42</f>
        <v>219634.02600000001</v>
      </c>
      <c r="D44" s="139">
        <f>+D37+D38+D39+D40+D41+D42</f>
        <v>300000</v>
      </c>
      <c r="E44" s="176">
        <f>+E37+E38+E39+E40+E41+E42</f>
        <v>0</v>
      </c>
      <c r="F44" s="176">
        <f t="shared" ref="F44:J44" si="5">+F37+F38+F39+F40+F41+F42</f>
        <v>0</v>
      </c>
      <c r="G44" s="176">
        <f t="shared" si="5"/>
        <v>0</v>
      </c>
      <c r="H44" s="176">
        <f t="shared" si="5"/>
        <v>277000</v>
      </c>
      <c r="I44" s="176">
        <f t="shared" si="5"/>
        <v>368285.71</v>
      </c>
      <c r="J44" s="176">
        <f t="shared" si="5"/>
        <v>496714.28499999997</v>
      </c>
      <c r="K44" s="176">
        <f>+D44+H44+E44</f>
        <v>577000</v>
      </c>
      <c r="L44" s="176">
        <f>+D44+F44+I44</f>
        <v>668285.71</v>
      </c>
      <c r="M44" s="176">
        <f>+G44+D44+J44</f>
        <v>796714.28499999992</v>
      </c>
      <c r="N44" s="4" t="s">
        <v>2</v>
      </c>
      <c r="O44" s="4" t="s">
        <v>2</v>
      </c>
      <c r="P44" s="4" t="s">
        <v>2</v>
      </c>
      <c r="Q44" s="26" t="s">
        <v>2</v>
      </c>
      <c r="R44" s="26" t="s">
        <v>2</v>
      </c>
      <c r="S44" s="26" t="s">
        <v>2</v>
      </c>
    </row>
    <row r="45" spans="1:20" ht="28.5" x14ac:dyDescent="0.25">
      <c r="B45" s="18" t="s">
        <v>60</v>
      </c>
      <c r="C45" s="22"/>
      <c r="D45" s="22"/>
      <c r="E45" s="19" t="s">
        <v>72</v>
      </c>
      <c r="F45" s="19" t="s">
        <v>72</v>
      </c>
      <c r="G45" s="19" t="s">
        <v>72</v>
      </c>
      <c r="H45" s="19" t="s">
        <v>72</v>
      </c>
      <c r="I45" s="19" t="s">
        <v>72</v>
      </c>
      <c r="J45" s="19" t="s">
        <v>72</v>
      </c>
      <c r="K45" s="19">
        <f>C45</f>
        <v>0</v>
      </c>
      <c r="L45" s="19">
        <f>C45</f>
        <v>0</v>
      </c>
      <c r="M45" s="19">
        <f>C45</f>
        <v>0</v>
      </c>
      <c r="N45" s="4" t="s">
        <v>2</v>
      </c>
      <c r="O45" s="4" t="s">
        <v>2</v>
      </c>
      <c r="P45" s="4" t="s">
        <v>2</v>
      </c>
      <c r="Q45" s="26" t="s">
        <v>2</v>
      </c>
      <c r="R45" s="26" t="s">
        <v>2</v>
      </c>
      <c r="S45" s="26" t="s">
        <v>2</v>
      </c>
    </row>
    <row r="46" spans="1:20" ht="21" customHeight="1" x14ac:dyDescent="0.25">
      <c r="B46" s="18" t="s">
        <v>61</v>
      </c>
      <c r="C46" s="19">
        <f>SUM(C37:C43)</f>
        <v>219634.02600000001</v>
      </c>
      <c r="D46" s="19">
        <f>SUM(D37:D43)</f>
        <v>300000</v>
      </c>
      <c r="E46" s="19">
        <f t="shared" ref="E46:J46" si="6">E44</f>
        <v>0</v>
      </c>
      <c r="F46" s="19">
        <f t="shared" si="6"/>
        <v>0</v>
      </c>
      <c r="G46" s="19">
        <f t="shared" si="6"/>
        <v>0</v>
      </c>
      <c r="H46" s="19">
        <f t="shared" si="6"/>
        <v>277000</v>
      </c>
      <c r="I46" s="19">
        <f t="shared" si="6"/>
        <v>368285.71</v>
      </c>
      <c r="J46" s="19">
        <f t="shared" si="6"/>
        <v>496714.28499999997</v>
      </c>
      <c r="K46" s="178">
        <f>+K44+K45</f>
        <v>577000</v>
      </c>
      <c r="L46" s="178">
        <f t="shared" ref="L46:M46" si="7">+L44+L45</f>
        <v>668285.71</v>
      </c>
      <c r="M46" s="178">
        <f t="shared" si="7"/>
        <v>796714.28499999992</v>
      </c>
      <c r="N46" s="4">
        <f>SUM(N37:N43)</f>
        <v>0</v>
      </c>
      <c r="O46" s="4">
        <f t="shared" ref="O46:P46" si="8">SUM(O37:O43)</f>
        <v>0</v>
      </c>
      <c r="P46" s="4">
        <f t="shared" si="8"/>
        <v>0</v>
      </c>
      <c r="Q46" s="26">
        <f>K46+N46</f>
        <v>577000</v>
      </c>
      <c r="R46" s="26">
        <f>L46+O46</f>
        <v>668285.71</v>
      </c>
      <c r="S46" s="26">
        <f>M46+P46</f>
        <v>796714.28499999992</v>
      </c>
    </row>
    <row r="48" spans="1:20" x14ac:dyDescent="0.25">
      <c r="T48" s="199"/>
    </row>
    <row r="49" spans="2:2" x14ac:dyDescent="0.25">
      <c r="B49" s="200" t="s">
        <v>503</v>
      </c>
    </row>
  </sheetData>
  <mergeCells count="13">
    <mergeCell ref="K17:K18"/>
    <mergeCell ref="B17:B18"/>
    <mergeCell ref="C17:C18"/>
    <mergeCell ref="D17:D18"/>
    <mergeCell ref="E17:E18"/>
    <mergeCell ref="F17:J17"/>
    <mergeCell ref="Q35:S35"/>
    <mergeCell ref="B31:E31"/>
    <mergeCell ref="B35:B36"/>
    <mergeCell ref="E35:G35"/>
    <mergeCell ref="H35:J35"/>
    <mergeCell ref="K35:M35"/>
    <mergeCell ref="N35:P35"/>
  </mergeCells>
  <dataValidations count="4">
    <dataValidation type="custom" allowBlank="1" showInputMessage="1" showErrorMessage="1" sqref="N37:P43" xr:uid="{63A5B1EB-92B8-4CFD-8B28-DBDE41D6A873}">
      <formula1>"-"</formula1>
    </dataValidation>
    <dataValidation type="list" allowBlank="1" showInputMessage="1" showErrorMessage="1" sqref="D19:D21" xr:uid="{9A30023A-9C52-46CA-9738-1E306B1C3EC8}">
      <formula1>$V$2:$V$3</formula1>
    </dataValidation>
    <dataValidation showInputMessage="1" showErrorMessage="1" sqref="E19:E21" xr:uid="{3AED372B-A376-40A5-8F38-7D78E979D273}"/>
    <dataValidation type="list" allowBlank="1" showInputMessage="1" showErrorMessage="1" sqref="B13" xr:uid="{5BDF5E8D-20AF-4628-A24C-CB1D8AD057F1}">
      <formula1>$U$2:$U$4</formula1>
    </dataValidation>
  </dataValidations>
  <hyperlinks>
    <hyperlink ref="C12" location="_ftn1" display="_ftn1" xr:uid="{87445596-A07A-4CDE-A9A0-797336641D34}"/>
    <hyperlink ref="D12" location="_ftn2" display="_ftn2" xr:uid="{C59B56B1-F7D9-4D53-8163-371880AFC09E}"/>
    <hyperlink ref="E12" location="_ftn3" display="_ftn3" xr:uid="{9CA3A55E-4839-4FD8-994E-E2CB81597817}"/>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4753" r:id="rId3" name="Check Box 1">
              <controlPr defaultSize="0" autoFill="0" autoLine="0" autoPict="0">
                <anchor moveWithCells="1">
                  <from>
                    <xdr:col>1</xdr:col>
                    <xdr:colOff>85725</xdr:colOff>
                    <xdr:row>27</xdr:row>
                    <xdr:rowOff>0</xdr:rowOff>
                  </from>
                  <to>
                    <xdr:col>2</xdr:col>
                    <xdr:colOff>333375</xdr:colOff>
                    <xdr:row>28</xdr:row>
                    <xdr:rowOff>38100</xdr:rowOff>
                  </to>
                </anchor>
              </controlPr>
            </control>
          </mc:Choice>
        </mc:AlternateContent>
        <mc:AlternateContent xmlns:mc="http://schemas.openxmlformats.org/markup-compatibility/2006">
          <mc:Choice Requires="x14">
            <control shapeId="74754" r:id="rId4" name="Check Box 2">
              <controlPr defaultSize="0" autoFill="0" autoLine="0" autoPict="0">
                <anchor moveWithCells="1">
                  <from>
                    <xdr:col>1</xdr:col>
                    <xdr:colOff>85725</xdr:colOff>
                    <xdr:row>24</xdr:row>
                    <xdr:rowOff>171450</xdr:rowOff>
                  </from>
                  <to>
                    <xdr:col>2</xdr:col>
                    <xdr:colOff>1085850</xdr:colOff>
                    <xdr:row>26</xdr:row>
                    <xdr:rowOff>47625</xdr:rowOff>
                  </to>
                </anchor>
              </controlPr>
            </control>
          </mc:Choice>
        </mc:AlternateContent>
        <mc:AlternateContent xmlns:mc="http://schemas.openxmlformats.org/markup-compatibility/2006">
          <mc:Choice Requires="x14">
            <control shapeId="74755" r:id="rId5" name="Check Box 3">
              <controlPr defaultSize="0" autoFill="0" autoLine="0" autoPict="0">
                <anchor moveWithCells="1">
                  <from>
                    <xdr:col>1</xdr:col>
                    <xdr:colOff>85725</xdr:colOff>
                    <xdr:row>26</xdr:row>
                    <xdr:rowOff>28575</xdr:rowOff>
                  </from>
                  <to>
                    <xdr:col>2</xdr:col>
                    <xdr:colOff>1085850</xdr:colOff>
                    <xdr:row>27</xdr:row>
                    <xdr:rowOff>9525</xdr:rowOff>
                  </to>
                </anchor>
              </controlPr>
            </control>
          </mc:Choice>
        </mc:AlternateContent>
        <mc:AlternateContent xmlns:mc="http://schemas.openxmlformats.org/markup-compatibility/2006">
          <mc:Choice Requires="x14">
            <control shapeId="74756" r:id="rId6" name="Check Box 4">
              <controlPr defaultSize="0" autoFill="0" autoLine="0" autoPict="0">
                <anchor moveWithCells="1">
                  <from>
                    <xdr:col>1</xdr:col>
                    <xdr:colOff>95250</xdr:colOff>
                    <xdr:row>28</xdr:row>
                    <xdr:rowOff>9525</xdr:rowOff>
                  </from>
                  <to>
                    <xdr:col>1</xdr:col>
                    <xdr:colOff>2781300</xdr:colOff>
                    <xdr:row>29</xdr:row>
                    <xdr:rowOff>9525</xdr:rowOff>
                  </to>
                </anchor>
              </controlPr>
            </control>
          </mc:Choice>
        </mc:AlternateContent>
        <mc:AlternateContent xmlns:mc="http://schemas.openxmlformats.org/markup-compatibility/2006">
          <mc:Choice Requires="x14">
            <control shapeId="74757" r:id="rId7" name="Check Box 5">
              <controlPr defaultSize="0" autoFill="0" autoLine="0" autoPict="0">
                <anchor moveWithCells="1">
                  <from>
                    <xdr:col>1</xdr:col>
                    <xdr:colOff>85725</xdr:colOff>
                    <xdr:row>27</xdr:row>
                    <xdr:rowOff>0</xdr:rowOff>
                  </from>
                  <to>
                    <xdr:col>2</xdr:col>
                    <xdr:colOff>333375</xdr:colOff>
                    <xdr:row>28</xdr:row>
                    <xdr:rowOff>28575</xdr:rowOff>
                  </to>
                </anchor>
              </controlPr>
            </control>
          </mc:Choice>
        </mc:AlternateContent>
        <mc:AlternateContent xmlns:mc="http://schemas.openxmlformats.org/markup-compatibility/2006">
          <mc:Choice Requires="x14">
            <control shapeId="74758" r:id="rId8" name="Check Box 6">
              <controlPr defaultSize="0" autoFill="0" autoLine="0" autoPict="0">
                <anchor moveWithCells="1">
                  <from>
                    <xdr:col>1</xdr:col>
                    <xdr:colOff>85725</xdr:colOff>
                    <xdr:row>24</xdr:row>
                    <xdr:rowOff>171450</xdr:rowOff>
                  </from>
                  <to>
                    <xdr:col>2</xdr:col>
                    <xdr:colOff>1085850</xdr:colOff>
                    <xdr:row>26</xdr:row>
                    <xdr:rowOff>28575</xdr:rowOff>
                  </to>
                </anchor>
              </controlPr>
            </control>
          </mc:Choice>
        </mc:AlternateContent>
        <mc:AlternateContent xmlns:mc="http://schemas.openxmlformats.org/markup-compatibility/2006">
          <mc:Choice Requires="x14">
            <control shapeId="74759" r:id="rId9" name="Check Box 7">
              <controlPr defaultSize="0" autoFill="0" autoLine="0" autoPict="0">
                <anchor moveWithCells="1">
                  <from>
                    <xdr:col>1</xdr:col>
                    <xdr:colOff>85725</xdr:colOff>
                    <xdr:row>26</xdr:row>
                    <xdr:rowOff>28575</xdr:rowOff>
                  </from>
                  <to>
                    <xdr:col>2</xdr:col>
                    <xdr:colOff>1085850</xdr:colOff>
                    <xdr:row>27</xdr:row>
                    <xdr:rowOff>0</xdr:rowOff>
                  </to>
                </anchor>
              </controlPr>
            </control>
          </mc:Choice>
        </mc:AlternateContent>
        <mc:AlternateContent xmlns:mc="http://schemas.openxmlformats.org/markup-compatibility/2006">
          <mc:Choice Requires="x14">
            <control shapeId="74760" r:id="rId10" name="Check Box 8">
              <controlPr defaultSize="0" autoFill="0" autoLine="0" autoPict="0">
                <anchor moveWithCells="1">
                  <from>
                    <xdr:col>1</xdr:col>
                    <xdr:colOff>95250</xdr:colOff>
                    <xdr:row>28</xdr:row>
                    <xdr:rowOff>9525</xdr:rowOff>
                  </from>
                  <to>
                    <xdr:col>1</xdr:col>
                    <xdr:colOff>2781300</xdr:colOff>
                    <xdr:row>29</xdr:row>
                    <xdr:rowOff>0</xdr:rowOff>
                  </to>
                </anchor>
              </controlPr>
            </control>
          </mc:Choice>
        </mc:AlternateContent>
      </controls>
    </mc:Choice>
  </mc:AlternateContent>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F2E81-C992-42D2-83A9-CB318DF7931C}">
  <dimension ref="A1:W49"/>
  <sheetViews>
    <sheetView topLeftCell="D28" workbookViewId="0">
      <selection activeCell="C42" sqref="C42:S42"/>
    </sheetView>
  </sheetViews>
  <sheetFormatPr defaultRowHeight="16.5" x14ac:dyDescent="0.3"/>
  <cols>
    <col min="1" max="1" width="6" style="9" customWidth="1"/>
    <col min="2" max="2" width="34.42578125" style="9" customWidth="1"/>
    <col min="3" max="3" width="27.28515625" style="9" customWidth="1"/>
    <col min="4" max="4" width="19.140625" style="9" customWidth="1"/>
    <col min="5" max="5" width="17.140625" style="9" customWidth="1"/>
    <col min="6" max="6" width="15.85546875" style="9" customWidth="1"/>
    <col min="7" max="7" width="14.28515625" style="9" customWidth="1"/>
    <col min="8" max="8" width="13" style="9" customWidth="1"/>
    <col min="9" max="9" width="12.28515625" style="9" customWidth="1"/>
    <col min="10" max="10" width="14" style="9" customWidth="1"/>
    <col min="11" max="11" width="64.85546875" style="9" customWidth="1"/>
    <col min="12" max="12" width="11.7109375" style="9" customWidth="1"/>
    <col min="13" max="13" width="11" style="9" bestFit="1" customWidth="1"/>
    <col min="14" max="14" width="9.5703125" style="9" customWidth="1"/>
    <col min="15" max="15" width="8.140625" style="9" customWidth="1"/>
    <col min="16" max="16" width="8" style="9" customWidth="1"/>
    <col min="17" max="19" width="11" style="9" bestFit="1" customWidth="1"/>
    <col min="20" max="20" width="9.140625" style="9"/>
    <col min="21" max="23" width="9.140625" style="9" hidden="1" customWidth="1"/>
    <col min="24" max="16384" width="9.140625" style="9"/>
  </cols>
  <sheetData>
    <row r="1" spans="1:23" x14ac:dyDescent="0.3">
      <c r="A1" s="1" t="s">
        <v>71</v>
      </c>
      <c r="C1" s="1"/>
      <c r="D1" s="1"/>
      <c r="E1" s="1"/>
      <c r="F1" s="1"/>
      <c r="G1" s="1"/>
      <c r="H1" s="1"/>
      <c r="I1" s="1"/>
      <c r="J1" s="1"/>
      <c r="U1" s="345" t="s">
        <v>40</v>
      </c>
      <c r="V1" s="345" t="s">
        <v>41</v>
      </c>
      <c r="W1" s="345" t="s">
        <v>42</v>
      </c>
    </row>
    <row r="2" spans="1:23" x14ac:dyDescent="0.3">
      <c r="A2" s="6"/>
      <c r="C2" s="6"/>
      <c r="D2" s="6"/>
      <c r="E2" s="6"/>
      <c r="F2" s="6"/>
      <c r="G2" s="6"/>
      <c r="H2" s="6"/>
      <c r="I2" s="6"/>
      <c r="J2" s="6"/>
      <c r="U2" s="345" t="s">
        <v>43</v>
      </c>
      <c r="V2" s="345" t="s">
        <v>44</v>
      </c>
      <c r="W2" s="345"/>
    </row>
    <row r="3" spans="1:23" ht="15.75" customHeight="1" x14ac:dyDescent="0.3">
      <c r="A3" s="7" t="s">
        <v>45</v>
      </c>
      <c r="C3" s="8"/>
      <c r="D3" s="8"/>
      <c r="E3" s="8"/>
      <c r="F3" s="8"/>
      <c r="G3" s="6"/>
      <c r="H3" s="6"/>
      <c r="I3" s="6"/>
      <c r="J3" s="6"/>
      <c r="U3" s="345" t="s">
        <v>46</v>
      </c>
      <c r="V3" s="345" t="s">
        <v>47</v>
      </c>
      <c r="W3" s="345"/>
    </row>
    <row r="4" spans="1:23" ht="15.75" customHeight="1" x14ac:dyDescent="0.3">
      <c r="G4" s="3"/>
      <c r="H4" s="3"/>
      <c r="I4" s="3"/>
      <c r="J4" s="3"/>
      <c r="U4" s="345" t="s">
        <v>48</v>
      </c>
      <c r="V4" s="345"/>
    </row>
    <row r="5" spans="1:23" ht="49.5" customHeight="1" x14ac:dyDescent="0.3">
      <c r="B5" s="25" t="s">
        <v>79</v>
      </c>
      <c r="C5" s="20">
        <v>1165</v>
      </c>
      <c r="E5" s="25" t="s">
        <v>83</v>
      </c>
      <c r="F5" s="20">
        <v>2020</v>
      </c>
      <c r="H5" s="3"/>
      <c r="I5" s="3"/>
      <c r="J5" s="3"/>
    </row>
    <row r="6" spans="1:23" ht="53.25" customHeight="1" x14ac:dyDescent="0.3">
      <c r="B6" s="25" t="s">
        <v>80</v>
      </c>
      <c r="C6" s="32" t="s">
        <v>662</v>
      </c>
      <c r="E6" s="25" t="s">
        <v>84</v>
      </c>
      <c r="F6" s="20" t="s">
        <v>132</v>
      </c>
      <c r="H6" s="3"/>
      <c r="I6" s="3"/>
      <c r="J6" s="3"/>
    </row>
    <row r="7" spans="1:23" ht="18" customHeight="1" x14ac:dyDescent="0.3">
      <c r="B7" s="25" t="s">
        <v>81</v>
      </c>
      <c r="C7" s="20">
        <v>11004</v>
      </c>
      <c r="H7" s="3"/>
      <c r="I7" s="3"/>
      <c r="J7" s="3"/>
    </row>
    <row r="8" spans="1:23" ht="93" customHeight="1" x14ac:dyDescent="0.3">
      <c r="B8" s="25" t="s">
        <v>82</v>
      </c>
      <c r="C8" s="32" t="s">
        <v>785</v>
      </c>
      <c r="H8" s="3"/>
      <c r="I8" s="3"/>
      <c r="J8" s="3"/>
    </row>
    <row r="9" spans="1:23" ht="17.25" x14ac:dyDescent="0.3">
      <c r="B9" s="6"/>
      <c r="C9" s="6"/>
      <c r="D9" s="6"/>
      <c r="E9" s="6"/>
      <c r="F9" s="3"/>
      <c r="G9" s="3"/>
      <c r="H9" s="3"/>
      <c r="I9" s="3"/>
      <c r="J9" s="3"/>
    </row>
    <row r="10" spans="1:23" ht="15.75" customHeight="1" x14ac:dyDescent="0.3">
      <c r="A10" s="7" t="s">
        <v>49</v>
      </c>
      <c r="C10" s="3"/>
      <c r="D10" s="3"/>
      <c r="E10" s="3"/>
      <c r="F10" s="3"/>
      <c r="G10" s="3"/>
      <c r="H10" s="3"/>
      <c r="I10" s="3"/>
      <c r="J10" s="3"/>
    </row>
    <row r="11" spans="1:23" ht="17.25" x14ac:dyDescent="0.3">
      <c r="B11" s="3"/>
      <c r="C11" s="3"/>
      <c r="D11" s="3"/>
      <c r="E11" s="3"/>
      <c r="F11" s="3"/>
      <c r="G11" s="3"/>
      <c r="H11" s="3"/>
      <c r="I11" s="3"/>
      <c r="J11" s="3"/>
    </row>
    <row r="12" spans="1:23" ht="95.25" customHeight="1" x14ac:dyDescent="0.3">
      <c r="B12" s="10" t="s">
        <v>85</v>
      </c>
      <c r="C12" s="28" t="s">
        <v>86</v>
      </c>
      <c r="D12" s="28" t="s">
        <v>87</v>
      </c>
      <c r="E12" s="28" t="s">
        <v>88</v>
      </c>
      <c r="F12" s="3"/>
      <c r="G12" s="3"/>
      <c r="H12" s="3"/>
      <c r="I12" s="3"/>
      <c r="J12" s="3"/>
    </row>
    <row r="13" spans="1:23" ht="99.75" customHeight="1" x14ac:dyDescent="0.3">
      <c r="B13" s="31" t="s">
        <v>43</v>
      </c>
      <c r="C13" s="32" t="s">
        <v>785</v>
      </c>
      <c r="D13" s="32" t="s">
        <v>133</v>
      </c>
      <c r="E13" s="32"/>
      <c r="G13" s="3"/>
      <c r="H13" s="3"/>
      <c r="I13" s="3"/>
    </row>
    <row r="14" spans="1:23" ht="17.25" x14ac:dyDescent="0.3">
      <c r="B14" s="11"/>
      <c r="C14" s="11"/>
      <c r="D14" s="11"/>
      <c r="E14" s="11"/>
      <c r="F14" s="3"/>
      <c r="G14" s="3"/>
      <c r="H14" s="3"/>
      <c r="I14" s="3"/>
    </row>
    <row r="15" spans="1:23" ht="17.25" x14ac:dyDescent="0.3">
      <c r="A15" s="7" t="s">
        <v>50</v>
      </c>
      <c r="C15" s="3"/>
      <c r="D15" s="3"/>
      <c r="E15" s="3"/>
      <c r="F15" s="3"/>
      <c r="G15" s="3"/>
      <c r="H15" s="3"/>
      <c r="I15" s="3"/>
    </row>
    <row r="16" spans="1:23" ht="17.25" x14ac:dyDescent="0.3">
      <c r="B16" s="11"/>
      <c r="C16" s="3"/>
      <c r="D16" s="3"/>
      <c r="E16" s="3"/>
      <c r="F16" s="3"/>
      <c r="G16" s="3"/>
      <c r="H16" s="3"/>
      <c r="I16" s="3"/>
    </row>
    <row r="17" spans="1:11" ht="26.25" customHeight="1" x14ac:dyDescent="0.3">
      <c r="B17" s="365" t="s">
        <v>89</v>
      </c>
      <c r="C17" s="365" t="s">
        <v>90</v>
      </c>
      <c r="D17" s="365" t="s">
        <v>91</v>
      </c>
      <c r="E17" s="365" t="s">
        <v>92</v>
      </c>
      <c r="F17" s="364" t="s">
        <v>93</v>
      </c>
      <c r="G17" s="364"/>
      <c r="H17" s="364"/>
      <c r="I17" s="364"/>
      <c r="J17" s="364"/>
      <c r="K17" s="364" t="s">
        <v>94</v>
      </c>
    </row>
    <row r="18" spans="1:11" ht="37.5" customHeight="1" x14ac:dyDescent="0.3">
      <c r="B18" s="365"/>
      <c r="C18" s="365"/>
      <c r="D18" s="365"/>
      <c r="E18" s="365"/>
      <c r="F18" s="27" t="s">
        <v>51</v>
      </c>
      <c r="G18" s="27" t="s">
        <v>52</v>
      </c>
      <c r="H18" s="27" t="s">
        <v>0</v>
      </c>
      <c r="I18" s="27" t="s">
        <v>1</v>
      </c>
      <c r="J18" s="27" t="s">
        <v>3</v>
      </c>
      <c r="K18" s="364"/>
    </row>
    <row r="19" spans="1:11" ht="54" customHeight="1" x14ac:dyDescent="0.3">
      <c r="B19" s="366" t="s">
        <v>105</v>
      </c>
      <c r="C19" s="30" t="s">
        <v>111</v>
      </c>
      <c r="D19" s="30" t="s">
        <v>44</v>
      </c>
      <c r="E19" s="30"/>
      <c r="F19" s="37">
        <v>148166</v>
      </c>
      <c r="G19" s="37">
        <v>249990</v>
      </c>
      <c r="H19" s="37">
        <v>249990</v>
      </c>
      <c r="I19" s="37">
        <v>249990</v>
      </c>
      <c r="J19" s="37">
        <v>249990</v>
      </c>
      <c r="K19" s="38" t="s">
        <v>790</v>
      </c>
    </row>
    <row r="20" spans="1:11" ht="75.599999999999994" customHeight="1" x14ac:dyDescent="0.3">
      <c r="B20" s="367"/>
      <c r="C20" s="30" t="s">
        <v>106</v>
      </c>
      <c r="D20" s="30" t="s">
        <v>47</v>
      </c>
      <c r="E20" s="30"/>
      <c r="F20" s="30">
        <v>45</v>
      </c>
      <c r="G20" s="30">
        <v>61</v>
      </c>
      <c r="H20" s="30">
        <v>61</v>
      </c>
      <c r="I20" s="30">
        <v>61</v>
      </c>
      <c r="J20" s="30">
        <v>61</v>
      </c>
      <c r="K20" s="32" t="s">
        <v>791</v>
      </c>
    </row>
    <row r="21" spans="1:11" ht="15.75" customHeight="1" x14ac:dyDescent="0.3">
      <c r="B21" s="22" t="s">
        <v>125</v>
      </c>
      <c r="C21" s="30" t="s">
        <v>111</v>
      </c>
      <c r="D21" s="30" t="s">
        <v>44</v>
      </c>
      <c r="E21" s="30"/>
      <c r="F21" s="37">
        <v>29633</v>
      </c>
      <c r="G21" s="37">
        <v>50010</v>
      </c>
      <c r="H21" s="37">
        <v>50010</v>
      </c>
      <c r="I21" s="37">
        <v>50010</v>
      </c>
      <c r="J21" s="37">
        <v>50010</v>
      </c>
      <c r="K21" s="30"/>
    </row>
    <row r="22" spans="1:11" ht="17.25" x14ac:dyDescent="0.3">
      <c r="B22" s="3"/>
      <c r="C22" s="3"/>
      <c r="D22" s="3"/>
      <c r="E22" s="3"/>
      <c r="F22" s="3"/>
      <c r="G22" s="3"/>
      <c r="H22" s="3"/>
      <c r="I22" s="3"/>
      <c r="J22" s="3"/>
    </row>
    <row r="23" spans="1:11" x14ac:dyDescent="0.3">
      <c r="A23" s="12" t="s">
        <v>53</v>
      </c>
      <c r="C23" s="13"/>
      <c r="D23" s="13"/>
      <c r="E23" s="13"/>
      <c r="F23" s="13"/>
      <c r="G23" s="13"/>
      <c r="H23" s="35"/>
      <c r="I23" s="13"/>
      <c r="J23" s="13"/>
    </row>
    <row r="24" spans="1:11" x14ac:dyDescent="0.3">
      <c r="A24" s="14"/>
      <c r="C24" s="15"/>
      <c r="D24" s="15"/>
      <c r="E24" s="15"/>
      <c r="F24" s="15"/>
      <c r="G24" s="15"/>
      <c r="H24" s="15"/>
      <c r="I24" s="15"/>
      <c r="J24" s="15"/>
    </row>
    <row r="25" spans="1:11" x14ac:dyDescent="0.3">
      <c r="A25" s="16" t="s">
        <v>54</v>
      </c>
      <c r="C25" s="17"/>
      <c r="D25" s="17"/>
      <c r="E25" s="13"/>
      <c r="F25" s="13"/>
      <c r="G25" s="13"/>
      <c r="H25" s="13"/>
      <c r="I25" s="13"/>
      <c r="J25" s="13"/>
    </row>
    <row r="26" spans="1:11" x14ac:dyDescent="0.3">
      <c r="B26" s="17"/>
      <c r="C26" s="17"/>
      <c r="D26" s="17"/>
      <c r="E26" s="13"/>
      <c r="F26" s="13"/>
      <c r="G26" s="13"/>
      <c r="H26" s="13"/>
      <c r="I26" s="13"/>
      <c r="J26" s="13"/>
    </row>
    <row r="27" spans="1:11" x14ac:dyDescent="0.3">
      <c r="B27" s="17"/>
      <c r="C27" s="17"/>
      <c r="D27" s="17"/>
      <c r="E27" s="13"/>
      <c r="F27" s="13"/>
      <c r="G27" s="13"/>
      <c r="H27" s="13"/>
      <c r="I27" s="13"/>
      <c r="J27" s="13"/>
    </row>
    <row r="28" spans="1:11" x14ac:dyDescent="0.3">
      <c r="B28" s="17"/>
      <c r="C28" s="17"/>
      <c r="D28" s="17"/>
      <c r="E28" s="13"/>
      <c r="F28" s="13"/>
      <c r="G28" s="13"/>
      <c r="H28" s="13"/>
      <c r="I28" s="13"/>
      <c r="J28" s="13"/>
    </row>
    <row r="29" spans="1:11" x14ac:dyDescent="0.3">
      <c r="B29" s="17"/>
      <c r="C29" s="17"/>
      <c r="D29" s="17"/>
      <c r="E29" s="13"/>
      <c r="F29" s="13"/>
      <c r="G29" s="13"/>
      <c r="H29" s="13"/>
      <c r="I29" s="13"/>
      <c r="J29" s="13"/>
    </row>
    <row r="30" spans="1:11" x14ac:dyDescent="0.3">
      <c r="A30" s="16" t="s">
        <v>55</v>
      </c>
      <c r="E30" s="13"/>
      <c r="F30" s="13"/>
      <c r="G30" s="13"/>
      <c r="H30" s="13"/>
      <c r="I30" s="13"/>
      <c r="J30" s="13"/>
    </row>
    <row r="31" spans="1:11" ht="62.25" customHeight="1" x14ac:dyDescent="0.3">
      <c r="B31" s="360"/>
      <c r="C31" s="361"/>
      <c r="D31" s="361"/>
      <c r="E31" s="362"/>
      <c r="F31" s="13"/>
      <c r="G31" s="13"/>
      <c r="H31" s="13"/>
      <c r="I31" s="13"/>
      <c r="J31" s="13"/>
    </row>
    <row r="32" spans="1:11" ht="17.25" x14ac:dyDescent="0.3">
      <c r="B32" s="3"/>
      <c r="C32" s="3"/>
      <c r="D32" s="3"/>
      <c r="E32" s="13"/>
      <c r="F32" s="13"/>
      <c r="G32" s="13"/>
      <c r="H32" s="13"/>
      <c r="I32" s="13"/>
      <c r="J32" s="13"/>
    </row>
    <row r="33" spans="1:19" x14ac:dyDescent="0.3">
      <c r="A33" s="7" t="s">
        <v>56</v>
      </c>
    </row>
    <row r="35" spans="1:19" ht="43.5" customHeight="1" x14ac:dyDescent="0.3">
      <c r="B35" s="363" t="s">
        <v>95</v>
      </c>
      <c r="C35" s="4" t="s">
        <v>96</v>
      </c>
      <c r="D35" s="4" t="s">
        <v>97</v>
      </c>
      <c r="E35" s="358" t="s">
        <v>98</v>
      </c>
      <c r="F35" s="358"/>
      <c r="G35" s="358"/>
      <c r="H35" s="358" t="s">
        <v>99</v>
      </c>
      <c r="I35" s="358"/>
      <c r="J35" s="358"/>
      <c r="K35" s="358" t="s">
        <v>100</v>
      </c>
      <c r="L35" s="358"/>
      <c r="M35" s="358"/>
      <c r="N35" s="358" t="s">
        <v>101</v>
      </c>
      <c r="O35" s="358"/>
      <c r="P35" s="358"/>
      <c r="Q35" s="359" t="s">
        <v>102</v>
      </c>
      <c r="R35" s="359"/>
      <c r="S35" s="359"/>
    </row>
    <row r="36" spans="1:19" ht="30" customHeight="1" x14ac:dyDescent="0.3">
      <c r="B36" s="363"/>
      <c r="C36" s="4" t="s">
        <v>35</v>
      </c>
      <c r="D36" s="4" t="s">
        <v>36</v>
      </c>
      <c r="E36" s="19" t="s">
        <v>0</v>
      </c>
      <c r="F36" s="19" t="s">
        <v>1</v>
      </c>
      <c r="G36" s="19" t="s">
        <v>3</v>
      </c>
      <c r="H36" s="19" t="s">
        <v>0</v>
      </c>
      <c r="I36" s="19" t="s">
        <v>1</v>
      </c>
      <c r="J36" s="19" t="s">
        <v>3</v>
      </c>
      <c r="K36" s="19" t="s">
        <v>39</v>
      </c>
      <c r="L36" s="19" t="s">
        <v>38</v>
      </c>
      <c r="M36" s="19" t="s">
        <v>37</v>
      </c>
      <c r="N36" s="19" t="s">
        <v>39</v>
      </c>
      <c r="O36" s="19" t="s">
        <v>38</v>
      </c>
      <c r="P36" s="19" t="s">
        <v>37</v>
      </c>
      <c r="Q36" s="26" t="s">
        <v>0</v>
      </c>
      <c r="R36" s="26" t="s">
        <v>1</v>
      </c>
      <c r="S36" s="26" t="s">
        <v>3</v>
      </c>
    </row>
    <row r="37" spans="1:19" ht="27" customHeight="1" x14ac:dyDescent="0.3">
      <c r="B37" s="22" t="s">
        <v>792</v>
      </c>
      <c r="C37" s="39">
        <v>148167</v>
      </c>
      <c r="D37" s="39">
        <v>249990</v>
      </c>
      <c r="E37" s="346"/>
      <c r="F37" s="346"/>
      <c r="G37" s="346"/>
      <c r="H37" s="39">
        <f>+D37-C37-E37</f>
        <v>101823</v>
      </c>
      <c r="I37" s="39">
        <f>+D37-C37-F37</f>
        <v>101823</v>
      </c>
      <c r="J37" s="39">
        <f>+D37-C37-G37</f>
        <v>101823</v>
      </c>
      <c r="K37" s="41">
        <f>C37+E37+H37</f>
        <v>249990</v>
      </c>
      <c r="L37" s="41">
        <f>C37+F37+I37</f>
        <v>249990</v>
      </c>
      <c r="M37" s="41">
        <f>C37+G37+J37</f>
        <v>249990</v>
      </c>
      <c r="N37" s="40"/>
      <c r="O37" s="40"/>
      <c r="P37" s="40"/>
      <c r="Q37" s="43">
        <f>K37+N37</f>
        <v>249990</v>
      </c>
      <c r="R37" s="43">
        <f>L37+O37</f>
        <v>249990</v>
      </c>
      <c r="S37" s="43">
        <f>M37+P37</f>
        <v>249990</v>
      </c>
    </row>
    <row r="38" spans="1:19" x14ac:dyDescent="0.3">
      <c r="B38" s="22" t="s">
        <v>125</v>
      </c>
      <c r="C38" s="39">
        <v>29633</v>
      </c>
      <c r="D38" s="39">
        <v>50010</v>
      </c>
      <c r="E38" s="39">
        <f>+I21-C38</f>
        <v>20377</v>
      </c>
      <c r="F38" s="39">
        <f>+I21-C38</f>
        <v>20377</v>
      </c>
      <c r="G38" s="39">
        <f>+J21-C38</f>
        <v>20377</v>
      </c>
      <c r="H38" s="40"/>
      <c r="I38" s="40"/>
      <c r="J38" s="40"/>
      <c r="K38" s="41">
        <f>C38+E38+H38</f>
        <v>50010</v>
      </c>
      <c r="L38" s="41">
        <f t="shared" ref="L38:L39" si="0">C38+F38+I38</f>
        <v>50010</v>
      </c>
      <c r="M38" s="41">
        <f t="shared" ref="M38:M39" si="1">C38+G38+J38</f>
        <v>50010</v>
      </c>
      <c r="N38" s="40"/>
      <c r="O38" s="40"/>
      <c r="P38" s="40"/>
      <c r="Q38" s="43">
        <f t="shared" ref="Q38:S39" si="2">K38+N38</f>
        <v>50010</v>
      </c>
      <c r="R38" s="43">
        <f t="shared" si="2"/>
        <v>50010</v>
      </c>
      <c r="S38" s="43">
        <f t="shared" si="2"/>
        <v>50010</v>
      </c>
    </row>
    <row r="39" spans="1:19" x14ac:dyDescent="0.3">
      <c r="B39" s="22"/>
      <c r="C39" s="39"/>
      <c r="D39" s="39"/>
      <c r="E39" s="39"/>
      <c r="F39" s="39"/>
      <c r="G39" s="39"/>
      <c r="H39" s="40"/>
      <c r="I39" s="40"/>
      <c r="J39" s="40"/>
      <c r="K39" s="41">
        <f t="shared" ref="K39" si="3">C39+E39+H39</f>
        <v>0</v>
      </c>
      <c r="L39" s="41">
        <f t="shared" si="0"/>
        <v>0</v>
      </c>
      <c r="M39" s="41">
        <f t="shared" si="1"/>
        <v>0</v>
      </c>
      <c r="N39" s="40"/>
      <c r="O39" s="40"/>
      <c r="P39" s="40"/>
      <c r="Q39" s="43">
        <f t="shared" si="2"/>
        <v>0</v>
      </c>
      <c r="R39" s="43">
        <f t="shared" si="2"/>
        <v>0</v>
      </c>
      <c r="S39" s="43">
        <f t="shared" si="2"/>
        <v>0</v>
      </c>
    </row>
    <row r="40" spans="1:19" ht="28.5" x14ac:dyDescent="0.3">
      <c r="B40" s="18" t="s">
        <v>73</v>
      </c>
      <c r="C40" s="39">
        <f>+C37</f>
        <v>148167</v>
      </c>
      <c r="D40" s="39">
        <f>+D37</f>
        <v>249990</v>
      </c>
      <c r="E40" s="41">
        <f>SUM(E37:E39)</f>
        <v>20377</v>
      </c>
      <c r="F40" s="41">
        <f t="shared" ref="F40:J40" si="4">SUM(F37:F39)</f>
        <v>20377</v>
      </c>
      <c r="G40" s="41">
        <f t="shared" si="4"/>
        <v>20377</v>
      </c>
      <c r="H40" s="41">
        <f t="shared" si="4"/>
        <v>101823</v>
      </c>
      <c r="I40" s="41">
        <f t="shared" si="4"/>
        <v>101823</v>
      </c>
      <c r="J40" s="41">
        <f t="shared" si="4"/>
        <v>101823</v>
      </c>
      <c r="K40" s="41">
        <f>C40+E40+H40</f>
        <v>270367</v>
      </c>
      <c r="L40" s="41">
        <f>C40+F40+I40</f>
        <v>270367</v>
      </c>
      <c r="M40" s="41">
        <f>C40+G40+J40</f>
        <v>270367</v>
      </c>
      <c r="N40" s="42" t="s">
        <v>2</v>
      </c>
      <c r="O40" s="42" t="s">
        <v>2</v>
      </c>
      <c r="P40" s="42" t="s">
        <v>2</v>
      </c>
      <c r="Q40" s="43" t="s">
        <v>2</v>
      </c>
      <c r="R40" s="43" t="s">
        <v>2</v>
      </c>
      <c r="S40" s="43" t="s">
        <v>2</v>
      </c>
    </row>
    <row r="41" spans="1:19" ht="28.5" x14ac:dyDescent="0.3">
      <c r="B41" s="18" t="s">
        <v>60</v>
      </c>
      <c r="C41" s="39">
        <f>+C38</f>
        <v>29633</v>
      </c>
      <c r="D41" s="39">
        <f>+D38</f>
        <v>50010</v>
      </c>
      <c r="E41" s="41" t="s">
        <v>72</v>
      </c>
      <c r="F41" s="41" t="s">
        <v>72</v>
      </c>
      <c r="G41" s="41" t="s">
        <v>72</v>
      </c>
      <c r="H41" s="41" t="s">
        <v>72</v>
      </c>
      <c r="I41" s="41" t="s">
        <v>72</v>
      </c>
      <c r="J41" s="41" t="s">
        <v>72</v>
      </c>
      <c r="K41" s="41">
        <f>C41</f>
        <v>29633</v>
      </c>
      <c r="L41" s="41">
        <f>C41</f>
        <v>29633</v>
      </c>
      <c r="M41" s="41">
        <f>C41</f>
        <v>29633</v>
      </c>
      <c r="N41" s="42" t="s">
        <v>2</v>
      </c>
      <c r="O41" s="42" t="s">
        <v>2</v>
      </c>
      <c r="P41" s="42" t="s">
        <v>2</v>
      </c>
      <c r="Q41" s="43" t="s">
        <v>2</v>
      </c>
      <c r="R41" s="43" t="s">
        <v>2</v>
      </c>
      <c r="S41" s="43" t="s">
        <v>2</v>
      </c>
    </row>
    <row r="42" spans="1:19" x14ac:dyDescent="0.3">
      <c r="B42" s="18" t="s">
        <v>61</v>
      </c>
      <c r="C42" s="41">
        <f>SUM(C37:C39)</f>
        <v>177800</v>
      </c>
      <c r="D42" s="41">
        <f>SUM(D37:D39)</f>
        <v>300000</v>
      </c>
      <c r="E42" s="41">
        <f>E40</f>
        <v>20377</v>
      </c>
      <c r="F42" s="41">
        <f>F40</f>
        <v>20377</v>
      </c>
      <c r="G42" s="41">
        <f t="shared" ref="G42:J42" si="5">G40</f>
        <v>20377</v>
      </c>
      <c r="H42" s="41">
        <f t="shared" si="5"/>
        <v>101823</v>
      </c>
      <c r="I42" s="41">
        <f t="shared" si="5"/>
        <v>101823</v>
      </c>
      <c r="J42" s="41">
        <f t="shared" si="5"/>
        <v>101823</v>
      </c>
      <c r="K42" s="42">
        <f>K40+K41</f>
        <v>300000</v>
      </c>
      <c r="L42" s="42">
        <f>L40+L41</f>
        <v>300000</v>
      </c>
      <c r="M42" s="42">
        <f>M40+M41</f>
        <v>300000</v>
      </c>
      <c r="N42" s="42">
        <f>SUM(N37:N39)</f>
        <v>0</v>
      </c>
      <c r="O42" s="42">
        <f>SUM(O37:O39)</f>
        <v>0</v>
      </c>
      <c r="P42" s="42">
        <f>SUM(P37:P39)</f>
        <v>0</v>
      </c>
      <c r="Q42" s="43">
        <f>K42+N42</f>
        <v>300000</v>
      </c>
      <c r="R42" s="43">
        <f>L42+O42</f>
        <v>300000</v>
      </c>
      <c r="S42" s="43">
        <f>M42+P42</f>
        <v>300000</v>
      </c>
    </row>
    <row r="48" spans="1:19" x14ac:dyDescent="0.3">
      <c r="K48" s="347"/>
    </row>
    <row r="49" spans="4:4" x14ac:dyDescent="0.3">
      <c r="D49" s="348"/>
    </row>
  </sheetData>
  <mergeCells count="14">
    <mergeCell ref="K35:M35"/>
    <mergeCell ref="N35:P35"/>
    <mergeCell ref="Q35:S35"/>
    <mergeCell ref="B19:B20"/>
    <mergeCell ref="B31:E31"/>
    <mergeCell ref="B35:B36"/>
    <mergeCell ref="E35:G35"/>
    <mergeCell ref="H35:J35"/>
    <mergeCell ref="K17:K18"/>
    <mergeCell ref="B17:B18"/>
    <mergeCell ref="C17:C18"/>
    <mergeCell ref="D17:D18"/>
    <mergeCell ref="E17:E18"/>
    <mergeCell ref="F17:J17"/>
  </mergeCells>
  <dataValidations count="4">
    <dataValidation type="list" allowBlank="1" showInputMessage="1" showErrorMessage="1" sqref="D19:D21" xr:uid="{37926615-9601-4545-94CC-10549296F818}">
      <formula1>$V$2:$V$3</formula1>
    </dataValidation>
    <dataValidation type="custom" allowBlank="1" showInputMessage="1" showErrorMessage="1" sqref="N37:P39" xr:uid="{1CC3E821-EE25-4BBD-AE01-4606EFB4D9BD}">
      <formula1>"-"</formula1>
    </dataValidation>
    <dataValidation type="list" allowBlank="1" showInputMessage="1" showErrorMessage="1" sqref="B13" xr:uid="{DBB0A81F-A31B-4389-A9F8-F1AE20BA0A3E}">
      <formula1>$U$2:$U$4</formula1>
    </dataValidation>
    <dataValidation showInputMessage="1" showErrorMessage="1" sqref="E19:E21" xr:uid="{8AE62D5F-C29E-4C9F-A204-010FEC95E83F}"/>
  </dataValidations>
  <hyperlinks>
    <hyperlink ref="C12" location="_ftn1" display="_ftn1" xr:uid="{AD620A47-CD18-4FB3-9536-10CF06F681BF}"/>
    <hyperlink ref="D12" location="_ftn2" display="_ftn2" xr:uid="{FDBE22AC-17F2-44CE-915C-883BB76AEEDA}"/>
    <hyperlink ref="E12" location="_ftn3" display="_ftn3" xr:uid="{C2429616-541F-4012-BC1D-F587ACADDEC1}"/>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27681" r:id="rId3" name="Check Box 1">
              <controlPr defaultSize="0" autoFill="0" autoLine="0" autoPict="0">
                <anchor moveWithCells="1">
                  <from>
                    <xdr:col>1</xdr:col>
                    <xdr:colOff>85725</xdr:colOff>
                    <xdr:row>24</xdr:row>
                    <xdr:rowOff>0</xdr:rowOff>
                  </from>
                  <to>
                    <xdr:col>2</xdr:col>
                    <xdr:colOff>1085850</xdr:colOff>
                    <xdr:row>25</xdr:row>
                    <xdr:rowOff>28575</xdr:rowOff>
                  </to>
                </anchor>
              </controlPr>
            </control>
          </mc:Choice>
        </mc:AlternateContent>
        <mc:AlternateContent xmlns:mc="http://schemas.openxmlformats.org/markup-compatibility/2006">
          <mc:Choice Requires="x14">
            <control shapeId="327682" r:id="rId4" name="Check Box 2">
              <controlPr defaultSize="0" autoFill="0" autoLine="0" autoPict="0">
                <anchor moveWithCells="1">
                  <from>
                    <xdr:col>1</xdr:col>
                    <xdr:colOff>85725</xdr:colOff>
                    <xdr:row>21</xdr:row>
                    <xdr:rowOff>171450</xdr:rowOff>
                  </from>
                  <to>
                    <xdr:col>3</xdr:col>
                    <xdr:colOff>19050</xdr:colOff>
                    <xdr:row>23</xdr:row>
                    <xdr:rowOff>28575</xdr:rowOff>
                  </to>
                </anchor>
              </controlPr>
            </control>
          </mc:Choice>
        </mc:AlternateContent>
        <mc:AlternateContent xmlns:mc="http://schemas.openxmlformats.org/markup-compatibility/2006">
          <mc:Choice Requires="x14">
            <control shapeId="327683" r:id="rId5" name="Check Box 3">
              <controlPr defaultSize="0" autoFill="0" autoLine="0" autoPict="0">
                <anchor moveWithCells="1">
                  <from>
                    <xdr:col>1</xdr:col>
                    <xdr:colOff>85725</xdr:colOff>
                    <xdr:row>23</xdr:row>
                    <xdr:rowOff>28575</xdr:rowOff>
                  </from>
                  <to>
                    <xdr:col>3</xdr:col>
                    <xdr:colOff>19050</xdr:colOff>
                    <xdr:row>24</xdr:row>
                    <xdr:rowOff>0</xdr:rowOff>
                  </to>
                </anchor>
              </controlPr>
            </control>
          </mc:Choice>
        </mc:AlternateContent>
        <mc:AlternateContent xmlns:mc="http://schemas.openxmlformats.org/markup-compatibility/2006">
          <mc:Choice Requires="x14">
            <control shapeId="327684" r:id="rId6" name="Check Box 4">
              <controlPr defaultSize="0" autoFill="0" autoLine="0" autoPict="0">
                <anchor moveWithCells="1">
                  <from>
                    <xdr:col>1</xdr:col>
                    <xdr:colOff>95250</xdr:colOff>
                    <xdr:row>25</xdr:row>
                    <xdr:rowOff>9525</xdr:rowOff>
                  </from>
                  <to>
                    <xdr:col>2</xdr:col>
                    <xdr:colOff>485775</xdr:colOff>
                    <xdr:row>26</xdr:row>
                    <xdr:rowOff>0</xdr:rowOff>
                  </to>
                </anchor>
              </controlPr>
            </control>
          </mc:Choice>
        </mc:AlternateContent>
        <mc:AlternateContent xmlns:mc="http://schemas.openxmlformats.org/markup-compatibility/2006">
          <mc:Choice Requires="x14">
            <control shapeId="327685" r:id="rId7" name="Check Box 5">
              <controlPr defaultSize="0" autoFill="0" autoLine="0" autoPict="0">
                <anchor moveWithCells="1">
                  <from>
                    <xdr:col>1</xdr:col>
                    <xdr:colOff>85725</xdr:colOff>
                    <xdr:row>24</xdr:row>
                    <xdr:rowOff>0</xdr:rowOff>
                  </from>
                  <to>
                    <xdr:col>2</xdr:col>
                    <xdr:colOff>1085850</xdr:colOff>
                    <xdr:row>25</xdr:row>
                    <xdr:rowOff>28575</xdr:rowOff>
                  </to>
                </anchor>
              </controlPr>
            </control>
          </mc:Choice>
        </mc:AlternateContent>
        <mc:AlternateContent xmlns:mc="http://schemas.openxmlformats.org/markup-compatibility/2006">
          <mc:Choice Requires="x14">
            <control shapeId="327686" r:id="rId8" name="Check Box 6">
              <controlPr defaultSize="0" autoFill="0" autoLine="0" autoPict="0">
                <anchor moveWithCells="1">
                  <from>
                    <xdr:col>1</xdr:col>
                    <xdr:colOff>85725</xdr:colOff>
                    <xdr:row>21</xdr:row>
                    <xdr:rowOff>171450</xdr:rowOff>
                  </from>
                  <to>
                    <xdr:col>3</xdr:col>
                    <xdr:colOff>19050</xdr:colOff>
                    <xdr:row>23</xdr:row>
                    <xdr:rowOff>28575</xdr:rowOff>
                  </to>
                </anchor>
              </controlPr>
            </control>
          </mc:Choice>
        </mc:AlternateContent>
        <mc:AlternateContent xmlns:mc="http://schemas.openxmlformats.org/markup-compatibility/2006">
          <mc:Choice Requires="x14">
            <control shapeId="327687" r:id="rId9" name="Check Box 7">
              <controlPr defaultSize="0" autoFill="0" autoLine="0" autoPict="0">
                <anchor moveWithCells="1">
                  <from>
                    <xdr:col>1</xdr:col>
                    <xdr:colOff>85725</xdr:colOff>
                    <xdr:row>23</xdr:row>
                    <xdr:rowOff>28575</xdr:rowOff>
                  </from>
                  <to>
                    <xdr:col>3</xdr:col>
                    <xdr:colOff>19050</xdr:colOff>
                    <xdr:row>24</xdr:row>
                    <xdr:rowOff>0</xdr:rowOff>
                  </to>
                </anchor>
              </controlPr>
            </control>
          </mc:Choice>
        </mc:AlternateContent>
        <mc:AlternateContent xmlns:mc="http://schemas.openxmlformats.org/markup-compatibility/2006">
          <mc:Choice Requires="x14">
            <control shapeId="327688" r:id="rId10" name="Check Box 8">
              <controlPr defaultSize="0" autoFill="0" autoLine="0" autoPict="0">
                <anchor moveWithCells="1">
                  <from>
                    <xdr:col>1</xdr:col>
                    <xdr:colOff>95250</xdr:colOff>
                    <xdr:row>25</xdr:row>
                    <xdr:rowOff>9525</xdr:rowOff>
                  </from>
                  <to>
                    <xdr:col>2</xdr:col>
                    <xdr:colOff>485775</xdr:colOff>
                    <xdr:row>26</xdr:row>
                    <xdr:rowOff>0</xdr:rowOff>
                  </to>
                </anchor>
              </controlPr>
            </control>
          </mc:Choice>
        </mc:AlternateContent>
        <mc:AlternateContent xmlns:mc="http://schemas.openxmlformats.org/markup-compatibility/2006">
          <mc:Choice Requires="x14">
            <control shapeId="327689" r:id="rId11" name="Check Box 9">
              <controlPr defaultSize="0" autoFill="0" autoLine="0" autoPict="0">
                <anchor moveWithCells="1">
                  <from>
                    <xdr:col>1</xdr:col>
                    <xdr:colOff>85725</xdr:colOff>
                    <xdr:row>24</xdr:row>
                    <xdr:rowOff>0</xdr:rowOff>
                  </from>
                  <to>
                    <xdr:col>2</xdr:col>
                    <xdr:colOff>1085850</xdr:colOff>
                    <xdr:row>25</xdr:row>
                    <xdr:rowOff>28575</xdr:rowOff>
                  </to>
                </anchor>
              </controlPr>
            </control>
          </mc:Choice>
        </mc:AlternateContent>
        <mc:AlternateContent xmlns:mc="http://schemas.openxmlformats.org/markup-compatibility/2006">
          <mc:Choice Requires="x14">
            <control shapeId="327690" r:id="rId12" name="Check Box 10">
              <controlPr defaultSize="0" autoFill="0" autoLine="0" autoPict="0">
                <anchor moveWithCells="1">
                  <from>
                    <xdr:col>1</xdr:col>
                    <xdr:colOff>85725</xdr:colOff>
                    <xdr:row>21</xdr:row>
                    <xdr:rowOff>171450</xdr:rowOff>
                  </from>
                  <to>
                    <xdr:col>3</xdr:col>
                    <xdr:colOff>19050</xdr:colOff>
                    <xdr:row>23</xdr:row>
                    <xdr:rowOff>28575</xdr:rowOff>
                  </to>
                </anchor>
              </controlPr>
            </control>
          </mc:Choice>
        </mc:AlternateContent>
        <mc:AlternateContent xmlns:mc="http://schemas.openxmlformats.org/markup-compatibility/2006">
          <mc:Choice Requires="x14">
            <control shapeId="327691" r:id="rId13" name="Check Box 11">
              <controlPr defaultSize="0" autoFill="0" autoLine="0" autoPict="0">
                <anchor moveWithCells="1">
                  <from>
                    <xdr:col>1</xdr:col>
                    <xdr:colOff>85725</xdr:colOff>
                    <xdr:row>23</xdr:row>
                    <xdr:rowOff>28575</xdr:rowOff>
                  </from>
                  <to>
                    <xdr:col>3</xdr:col>
                    <xdr:colOff>19050</xdr:colOff>
                    <xdr:row>24</xdr:row>
                    <xdr:rowOff>0</xdr:rowOff>
                  </to>
                </anchor>
              </controlPr>
            </control>
          </mc:Choice>
        </mc:AlternateContent>
        <mc:AlternateContent xmlns:mc="http://schemas.openxmlformats.org/markup-compatibility/2006">
          <mc:Choice Requires="x14">
            <control shapeId="327692" r:id="rId14" name="Check Box 12">
              <controlPr defaultSize="0" autoFill="0" autoLine="0" autoPict="0">
                <anchor moveWithCells="1">
                  <from>
                    <xdr:col>1</xdr:col>
                    <xdr:colOff>95250</xdr:colOff>
                    <xdr:row>25</xdr:row>
                    <xdr:rowOff>9525</xdr:rowOff>
                  </from>
                  <to>
                    <xdr:col>2</xdr:col>
                    <xdr:colOff>485775</xdr:colOff>
                    <xdr:row>26</xdr:row>
                    <xdr:rowOff>0</xdr:rowOff>
                  </to>
                </anchor>
              </controlPr>
            </control>
          </mc:Choice>
        </mc:AlternateContent>
        <mc:AlternateContent xmlns:mc="http://schemas.openxmlformats.org/markup-compatibility/2006">
          <mc:Choice Requires="x14">
            <control shapeId="327693" r:id="rId15" name="Check Box 13">
              <controlPr defaultSize="0" autoFill="0" autoLine="0" autoPict="0">
                <anchor moveWithCells="1">
                  <from>
                    <xdr:col>1</xdr:col>
                    <xdr:colOff>85725</xdr:colOff>
                    <xdr:row>27</xdr:row>
                    <xdr:rowOff>0</xdr:rowOff>
                  </from>
                  <to>
                    <xdr:col>2</xdr:col>
                    <xdr:colOff>1085850</xdr:colOff>
                    <xdr:row>28</xdr:row>
                    <xdr:rowOff>0</xdr:rowOff>
                  </to>
                </anchor>
              </controlPr>
            </control>
          </mc:Choice>
        </mc:AlternateContent>
        <mc:AlternateContent xmlns:mc="http://schemas.openxmlformats.org/markup-compatibility/2006">
          <mc:Choice Requires="x14">
            <control shapeId="327694" r:id="rId16" name="Check Box 14">
              <controlPr defaultSize="0" autoFill="0" autoLine="0" autoPict="0">
                <anchor moveWithCells="1">
                  <from>
                    <xdr:col>1</xdr:col>
                    <xdr:colOff>85725</xdr:colOff>
                    <xdr:row>24</xdr:row>
                    <xdr:rowOff>171450</xdr:rowOff>
                  </from>
                  <to>
                    <xdr:col>3</xdr:col>
                    <xdr:colOff>28575</xdr:colOff>
                    <xdr:row>26</xdr:row>
                    <xdr:rowOff>28575</xdr:rowOff>
                  </to>
                </anchor>
              </controlPr>
            </control>
          </mc:Choice>
        </mc:AlternateContent>
        <mc:AlternateContent xmlns:mc="http://schemas.openxmlformats.org/markup-compatibility/2006">
          <mc:Choice Requires="x14">
            <control shapeId="327695" r:id="rId17" name="Check Box 15">
              <controlPr defaultSize="0" autoFill="0" autoLine="0" autoPict="0">
                <anchor moveWithCells="1">
                  <from>
                    <xdr:col>1</xdr:col>
                    <xdr:colOff>85725</xdr:colOff>
                    <xdr:row>26</xdr:row>
                    <xdr:rowOff>28575</xdr:rowOff>
                  </from>
                  <to>
                    <xdr:col>3</xdr:col>
                    <xdr:colOff>28575</xdr:colOff>
                    <xdr:row>27</xdr:row>
                    <xdr:rowOff>0</xdr:rowOff>
                  </to>
                </anchor>
              </controlPr>
            </control>
          </mc:Choice>
        </mc:AlternateContent>
        <mc:AlternateContent xmlns:mc="http://schemas.openxmlformats.org/markup-compatibility/2006">
          <mc:Choice Requires="x14">
            <control shapeId="327696" r:id="rId18" name="Check Box 16">
              <controlPr defaultSize="0" autoFill="0" autoLine="0" autoPict="0">
                <anchor moveWithCells="1">
                  <from>
                    <xdr:col>1</xdr:col>
                    <xdr:colOff>95250</xdr:colOff>
                    <xdr:row>28</xdr:row>
                    <xdr:rowOff>9525</xdr:rowOff>
                  </from>
                  <to>
                    <xdr:col>2</xdr:col>
                    <xdr:colOff>485775</xdr:colOff>
                    <xdr:row>28</xdr:row>
                    <xdr:rowOff>190500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7ECB7-ACD0-44CE-97A3-F88A12F86ED0}">
  <dimension ref="A1:W51"/>
  <sheetViews>
    <sheetView topLeftCell="C34" workbookViewId="0">
      <selection activeCell="S48" sqref="S48"/>
    </sheetView>
  </sheetViews>
  <sheetFormatPr defaultRowHeight="15" x14ac:dyDescent="0.25"/>
  <cols>
    <col min="1" max="1" width="6" customWidth="1"/>
    <col min="2" max="2" width="33.140625" customWidth="1"/>
    <col min="3" max="3" width="28.7109375" customWidth="1"/>
    <col min="4" max="4" width="24.85546875" customWidth="1"/>
    <col min="5" max="5" width="25" customWidth="1"/>
    <col min="6" max="6" width="14.5703125" customWidth="1"/>
    <col min="7" max="7" width="14.140625" customWidth="1"/>
    <col min="8" max="8" width="13.42578125" customWidth="1"/>
    <col min="9" max="9" width="10.42578125" customWidth="1"/>
    <col min="10" max="10" width="11.140625" customWidth="1"/>
    <col min="11" max="11" width="24.42578125" customWidth="1"/>
    <col min="12" max="12" width="10.7109375" customWidth="1"/>
    <col min="13" max="13" width="11.140625" bestFit="1" customWidth="1"/>
    <col min="14" max="14" width="9.5703125" customWidth="1"/>
    <col min="15" max="15" width="8.140625" customWidth="1"/>
    <col min="16" max="16" width="8" customWidth="1"/>
    <col min="17" max="17" width="11.140625" bestFit="1" customWidth="1"/>
    <col min="18" max="18" width="10.85546875" bestFit="1" customWidth="1"/>
    <col min="19" max="19" width="10.5703125" bestFit="1" customWidth="1"/>
    <col min="21" max="23" width="0"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27.75" customHeight="1" x14ac:dyDescent="0.25">
      <c r="B5" s="25" t="s">
        <v>79</v>
      </c>
      <c r="C5" s="20">
        <v>1116</v>
      </c>
      <c r="E5" s="25" t="s">
        <v>83</v>
      </c>
      <c r="F5" s="20">
        <v>2022</v>
      </c>
      <c r="H5" s="3"/>
      <c r="I5" s="3"/>
      <c r="J5" s="3"/>
    </row>
    <row r="6" spans="1:23" ht="30" customHeight="1" x14ac:dyDescent="0.25">
      <c r="B6" s="25" t="s">
        <v>80</v>
      </c>
      <c r="C6" s="20" t="s">
        <v>180</v>
      </c>
      <c r="E6" s="25" t="s">
        <v>84</v>
      </c>
      <c r="F6" s="20" t="s">
        <v>132</v>
      </c>
      <c r="H6" s="3"/>
      <c r="I6" s="3"/>
      <c r="J6" s="3"/>
    </row>
    <row r="7" spans="1:23" ht="18" customHeight="1" x14ac:dyDescent="0.25">
      <c r="B7" s="25" t="s">
        <v>81</v>
      </c>
      <c r="C7" s="20">
        <v>11005</v>
      </c>
      <c r="H7" s="3"/>
      <c r="I7" s="3"/>
      <c r="J7" s="3"/>
    </row>
    <row r="8" spans="1:23" ht="60.75" customHeight="1" x14ac:dyDescent="0.25">
      <c r="B8" s="25" t="s">
        <v>82</v>
      </c>
      <c r="C8" s="53" t="s">
        <v>225</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82.5" x14ac:dyDescent="0.25">
      <c r="B12" s="10" t="s">
        <v>85</v>
      </c>
      <c r="C12" s="28" t="s">
        <v>86</v>
      </c>
      <c r="D12" s="28" t="s">
        <v>87</v>
      </c>
      <c r="E12" s="28" t="s">
        <v>88</v>
      </c>
      <c r="F12" s="3"/>
      <c r="G12" s="3"/>
      <c r="H12" s="3"/>
      <c r="I12" s="3"/>
      <c r="J12" s="3"/>
    </row>
    <row r="13" spans="1:23" ht="81.75" x14ac:dyDescent="0.3">
      <c r="B13" s="31" t="s">
        <v>43</v>
      </c>
      <c r="C13" s="54" t="s">
        <v>226</v>
      </c>
      <c r="D13" s="32" t="s">
        <v>227</v>
      </c>
      <c r="E13" s="32" t="s">
        <v>228</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15" customHeight="1" x14ac:dyDescent="0.25">
      <c r="B17" s="365" t="s">
        <v>89</v>
      </c>
      <c r="C17" s="365" t="s">
        <v>90</v>
      </c>
      <c r="D17" s="365" t="s">
        <v>91</v>
      </c>
      <c r="E17" s="365" t="s">
        <v>92</v>
      </c>
      <c r="F17" s="364" t="s">
        <v>93</v>
      </c>
      <c r="G17" s="364"/>
      <c r="H17" s="364"/>
      <c r="I17" s="364"/>
      <c r="J17" s="364"/>
      <c r="K17" s="364" t="s">
        <v>94</v>
      </c>
    </row>
    <row r="18" spans="1:11" ht="40.5" x14ac:dyDescent="0.25">
      <c r="B18" s="365"/>
      <c r="C18" s="365"/>
      <c r="D18" s="365"/>
      <c r="E18" s="365"/>
      <c r="F18" s="27" t="s">
        <v>51</v>
      </c>
      <c r="G18" s="27" t="s">
        <v>229</v>
      </c>
      <c r="H18" s="27" t="s">
        <v>0</v>
      </c>
      <c r="I18" s="27" t="s">
        <v>1</v>
      </c>
      <c r="J18" s="27" t="s">
        <v>3</v>
      </c>
      <c r="K18" s="364"/>
    </row>
    <row r="19" spans="1:11" ht="111" customHeight="1" x14ac:dyDescent="0.25">
      <c r="B19" s="44" t="s">
        <v>230</v>
      </c>
      <c r="C19" s="58" t="s">
        <v>111</v>
      </c>
      <c r="D19" s="58" t="s">
        <v>44</v>
      </c>
      <c r="E19" s="87"/>
      <c r="F19" s="87">
        <v>400</v>
      </c>
      <c r="G19" s="87">
        <v>400</v>
      </c>
      <c r="H19" s="87">
        <v>500</v>
      </c>
      <c r="I19" s="87">
        <v>500</v>
      </c>
      <c r="J19" s="87">
        <v>500</v>
      </c>
      <c r="K19" s="45" t="s">
        <v>231</v>
      </c>
    </row>
    <row r="20" spans="1:11" ht="48.75" customHeight="1" x14ac:dyDescent="0.25">
      <c r="B20" s="44" t="s">
        <v>187</v>
      </c>
      <c r="C20" s="58" t="s">
        <v>117</v>
      </c>
      <c r="D20" s="58" t="s">
        <v>47</v>
      </c>
      <c r="E20" s="87"/>
      <c r="F20" s="55">
        <v>163137</v>
      </c>
      <c r="G20" s="55">
        <v>686500</v>
      </c>
      <c r="H20" s="55">
        <v>246500</v>
      </c>
      <c r="I20" s="55">
        <v>246500</v>
      </c>
      <c r="J20" s="55">
        <v>246500</v>
      </c>
      <c r="K20" s="32" t="s">
        <v>232</v>
      </c>
    </row>
    <row r="21" spans="1:11" ht="24.75" customHeight="1" x14ac:dyDescent="0.25">
      <c r="B21" s="368" t="s">
        <v>233</v>
      </c>
      <c r="C21" s="58" t="s">
        <v>234</v>
      </c>
      <c r="D21" s="58" t="s">
        <v>47</v>
      </c>
      <c r="E21" s="87"/>
      <c r="F21" s="55">
        <v>0</v>
      </c>
      <c r="G21" s="55">
        <v>12</v>
      </c>
      <c r="H21" s="55">
        <v>12</v>
      </c>
      <c r="I21" s="55">
        <v>12</v>
      </c>
      <c r="J21" s="55">
        <v>12</v>
      </c>
      <c r="K21" s="32"/>
    </row>
    <row r="22" spans="1:11" ht="40.5" x14ac:dyDescent="0.25">
      <c r="B22" s="369"/>
      <c r="C22" s="58" t="s">
        <v>111</v>
      </c>
      <c r="D22" s="58" t="s">
        <v>44</v>
      </c>
      <c r="E22" s="87"/>
      <c r="F22" s="56">
        <v>0</v>
      </c>
      <c r="G22" s="56">
        <v>2933.5</v>
      </c>
      <c r="H22" s="56">
        <v>2933.5</v>
      </c>
      <c r="I22" s="56">
        <v>2933.5</v>
      </c>
      <c r="J22" s="56">
        <v>2933.5</v>
      </c>
      <c r="K22" s="32" t="s">
        <v>235</v>
      </c>
    </row>
    <row r="23" spans="1:11" x14ac:dyDescent="0.25">
      <c r="B23" s="368" t="s">
        <v>236</v>
      </c>
      <c r="C23" s="58" t="s">
        <v>111</v>
      </c>
      <c r="D23" s="58" t="s">
        <v>44</v>
      </c>
      <c r="E23" s="87"/>
      <c r="F23" s="56">
        <v>310</v>
      </c>
      <c r="G23" s="55">
        <v>250</v>
      </c>
      <c r="H23" s="55">
        <v>250</v>
      </c>
      <c r="I23" s="55">
        <v>250</v>
      </c>
      <c r="J23" s="55">
        <v>250</v>
      </c>
      <c r="K23" s="87"/>
    </row>
    <row r="24" spans="1:11" ht="40.5" x14ac:dyDescent="0.25">
      <c r="B24" s="369"/>
      <c r="C24" s="58" t="s">
        <v>117</v>
      </c>
      <c r="D24" s="58" t="s">
        <v>47</v>
      </c>
      <c r="E24" s="32" t="s">
        <v>237</v>
      </c>
      <c r="F24" s="55">
        <v>1600000</v>
      </c>
      <c r="G24" s="55">
        <v>493000</v>
      </c>
      <c r="H24" s="55">
        <v>390800</v>
      </c>
      <c r="I24" s="55">
        <v>493000</v>
      </c>
      <c r="J24" s="55">
        <v>493000</v>
      </c>
      <c r="K24" s="32" t="s">
        <v>238</v>
      </c>
    </row>
    <row r="25" spans="1:11" x14ac:dyDescent="0.25">
      <c r="B25" s="368" t="s">
        <v>239</v>
      </c>
      <c r="C25" s="58" t="s">
        <v>111</v>
      </c>
      <c r="D25" s="58" t="s">
        <v>44</v>
      </c>
      <c r="E25" s="32"/>
      <c r="F25" s="56">
        <v>8</v>
      </c>
      <c r="G25" s="88">
        <v>0</v>
      </c>
      <c r="H25" s="56">
        <v>8</v>
      </c>
      <c r="I25" s="88">
        <v>0</v>
      </c>
      <c r="J25" s="56">
        <v>8</v>
      </c>
      <c r="K25" s="87"/>
    </row>
    <row r="26" spans="1:11" x14ac:dyDescent="0.25">
      <c r="B26" s="369"/>
      <c r="C26" s="89" t="s">
        <v>117</v>
      </c>
      <c r="D26" s="89" t="s">
        <v>47</v>
      </c>
      <c r="E26" s="21"/>
      <c r="F26" s="57">
        <v>550</v>
      </c>
      <c r="G26" s="90">
        <v>0</v>
      </c>
      <c r="H26" s="57">
        <v>550</v>
      </c>
      <c r="I26" s="90">
        <v>0</v>
      </c>
      <c r="J26" s="57">
        <v>550</v>
      </c>
      <c r="K26" s="21"/>
    </row>
    <row r="27" spans="1:11" ht="17.25" x14ac:dyDescent="0.25">
      <c r="B27" s="3"/>
      <c r="C27" s="3"/>
      <c r="D27" s="3"/>
      <c r="E27" s="3"/>
      <c r="F27" s="3"/>
      <c r="G27" s="3"/>
      <c r="H27" s="3"/>
      <c r="I27" s="3"/>
      <c r="J27" s="3"/>
    </row>
    <row r="28" spans="1:11" ht="15.75" x14ac:dyDescent="0.25">
      <c r="A28" s="12" t="s">
        <v>53</v>
      </c>
      <c r="C28" s="13"/>
      <c r="D28" s="13"/>
      <c r="E28" s="13"/>
      <c r="F28" s="67"/>
      <c r="G28" s="65"/>
      <c r="H28" s="13"/>
      <c r="I28" s="13"/>
      <c r="J28" s="13"/>
    </row>
    <row r="29" spans="1:11" x14ac:dyDescent="0.25">
      <c r="A29" s="14"/>
      <c r="C29" s="15"/>
      <c r="D29" s="15"/>
      <c r="E29" s="15"/>
      <c r="F29" s="15"/>
      <c r="G29" s="15"/>
      <c r="H29" s="15"/>
      <c r="I29" s="15"/>
      <c r="J29" s="15"/>
    </row>
    <row r="30" spans="1:11" x14ac:dyDescent="0.25">
      <c r="A30" s="16" t="s">
        <v>54</v>
      </c>
      <c r="C30" s="17"/>
      <c r="D30" s="17"/>
      <c r="E30" s="13"/>
      <c r="F30" s="13"/>
      <c r="G30" s="91"/>
      <c r="H30" s="13"/>
      <c r="I30" s="13"/>
      <c r="J30" s="13"/>
    </row>
    <row r="31" spans="1:11" x14ac:dyDescent="0.25">
      <c r="B31" s="17"/>
      <c r="C31" s="17"/>
      <c r="D31" s="17"/>
      <c r="E31" s="13"/>
      <c r="F31" s="13"/>
      <c r="G31" s="13"/>
      <c r="H31" s="13"/>
      <c r="I31" s="13"/>
      <c r="J31" s="13"/>
    </row>
    <row r="32" spans="1:11" x14ac:dyDescent="0.25">
      <c r="B32" s="17"/>
      <c r="C32" s="17"/>
      <c r="D32" s="17"/>
      <c r="E32" s="13"/>
      <c r="F32" s="13"/>
      <c r="G32" s="13"/>
      <c r="H32" s="13"/>
      <c r="I32" s="13"/>
      <c r="J32" s="13"/>
    </row>
    <row r="33" spans="1:19" x14ac:dyDescent="0.25">
      <c r="B33" s="17"/>
      <c r="C33" s="17"/>
      <c r="D33" s="17"/>
      <c r="E33" s="13"/>
      <c r="F33" s="13"/>
      <c r="G33" s="13"/>
      <c r="H33" s="13"/>
      <c r="I33" s="13"/>
      <c r="J33" s="13"/>
    </row>
    <row r="34" spans="1:19" x14ac:dyDescent="0.25">
      <c r="B34" s="17"/>
      <c r="C34" s="17"/>
      <c r="D34" s="17"/>
      <c r="E34" s="13"/>
      <c r="F34" s="13"/>
      <c r="G34" s="13"/>
      <c r="H34" s="13"/>
      <c r="I34" s="13"/>
      <c r="J34" s="13"/>
    </row>
    <row r="35" spans="1:19" x14ac:dyDescent="0.25">
      <c r="A35" s="16" t="s">
        <v>55</v>
      </c>
      <c r="E35" s="13"/>
      <c r="F35" s="13"/>
      <c r="G35" s="13"/>
      <c r="H35" s="13"/>
      <c r="I35" s="13"/>
      <c r="J35" s="13"/>
    </row>
    <row r="36" spans="1:19" ht="62.25" customHeight="1" x14ac:dyDescent="0.25">
      <c r="B36" s="360"/>
      <c r="C36" s="361"/>
      <c r="D36" s="361"/>
      <c r="E36" s="362"/>
      <c r="F36" s="13"/>
      <c r="G36" s="13"/>
      <c r="H36" s="13"/>
      <c r="I36" s="13"/>
      <c r="J36" s="13"/>
    </row>
    <row r="37" spans="1:19" ht="17.25" x14ac:dyDescent="0.25">
      <c r="B37" s="3"/>
      <c r="C37" s="3"/>
      <c r="D37" s="3"/>
      <c r="E37" s="13"/>
      <c r="F37" s="13"/>
      <c r="G37" s="13"/>
      <c r="H37" s="13"/>
      <c r="I37" s="13"/>
      <c r="J37" s="13"/>
    </row>
    <row r="38" spans="1:19" x14ac:dyDescent="0.25">
      <c r="A38" s="7" t="s">
        <v>56</v>
      </c>
    </row>
    <row r="40" spans="1:19" ht="54.75" customHeight="1" x14ac:dyDescent="0.25">
      <c r="B40" s="363" t="s">
        <v>95</v>
      </c>
      <c r="C40" s="4" t="s">
        <v>96</v>
      </c>
      <c r="D40" s="4" t="s">
        <v>97</v>
      </c>
      <c r="E40" s="358" t="s">
        <v>98</v>
      </c>
      <c r="F40" s="358"/>
      <c r="G40" s="358"/>
      <c r="H40" s="358" t="s">
        <v>99</v>
      </c>
      <c r="I40" s="358"/>
      <c r="J40" s="358"/>
      <c r="K40" s="358" t="s">
        <v>100</v>
      </c>
      <c r="L40" s="358"/>
      <c r="M40" s="358"/>
      <c r="N40" s="358" t="s">
        <v>101</v>
      </c>
      <c r="O40" s="358"/>
      <c r="P40" s="358"/>
      <c r="Q40" s="359" t="s">
        <v>102</v>
      </c>
      <c r="R40" s="359"/>
      <c r="S40" s="359"/>
    </row>
    <row r="41" spans="1:19" x14ac:dyDescent="0.25">
      <c r="B41" s="363"/>
      <c r="C41" s="4" t="s">
        <v>35</v>
      </c>
      <c r="D41" s="4" t="s">
        <v>36</v>
      </c>
      <c r="E41" s="19" t="s">
        <v>0</v>
      </c>
      <c r="F41" s="19" t="s">
        <v>1</v>
      </c>
      <c r="G41" s="19" t="s">
        <v>3</v>
      </c>
      <c r="H41" s="19" t="s">
        <v>0</v>
      </c>
      <c r="I41" s="19" t="s">
        <v>1</v>
      </c>
      <c r="J41" s="19" t="s">
        <v>3</v>
      </c>
      <c r="K41" s="19" t="s">
        <v>39</v>
      </c>
      <c r="L41" s="19" t="s">
        <v>38</v>
      </c>
      <c r="M41" s="19" t="s">
        <v>37</v>
      </c>
      <c r="N41" s="19" t="s">
        <v>39</v>
      </c>
      <c r="O41" s="19" t="s">
        <v>38</v>
      </c>
      <c r="P41" s="19" t="s">
        <v>37</v>
      </c>
      <c r="Q41" s="26" t="s">
        <v>0</v>
      </c>
      <c r="R41" s="26" t="s">
        <v>1</v>
      </c>
      <c r="S41" s="26" t="s">
        <v>3</v>
      </c>
    </row>
    <row r="42" spans="1:19" x14ac:dyDescent="0.25">
      <c r="B42" s="22" t="s">
        <v>212</v>
      </c>
      <c r="C42" s="39">
        <v>78583.199999999997</v>
      </c>
      <c r="D42" s="39">
        <v>340647.5</v>
      </c>
      <c r="E42" s="77">
        <v>45697.2</v>
      </c>
      <c r="F42" s="77">
        <v>45697.2</v>
      </c>
      <c r="G42" s="77">
        <v>45697.2</v>
      </c>
      <c r="H42" s="92"/>
      <c r="I42" s="23"/>
      <c r="J42" s="23"/>
      <c r="K42" s="41">
        <f>C42+E42+H42</f>
        <v>124280.4</v>
      </c>
      <c r="L42" s="41">
        <f>K42</f>
        <v>124280.4</v>
      </c>
      <c r="M42" s="41">
        <f>K42</f>
        <v>124280.4</v>
      </c>
      <c r="N42" s="23"/>
      <c r="O42" s="23"/>
      <c r="P42" s="23"/>
      <c r="Q42" s="43">
        <f>K42+N42</f>
        <v>124280.4</v>
      </c>
      <c r="R42" s="43">
        <f>L42+O42</f>
        <v>124280.4</v>
      </c>
      <c r="S42" s="43">
        <f>M42+P42</f>
        <v>124280.4</v>
      </c>
    </row>
    <row r="43" spans="1:19" ht="54" x14ac:dyDescent="0.25">
      <c r="B43" s="22" t="s">
        <v>233</v>
      </c>
      <c r="C43" s="39">
        <v>0</v>
      </c>
      <c r="D43" s="39">
        <v>35202</v>
      </c>
      <c r="E43" s="39">
        <v>35202</v>
      </c>
      <c r="F43" s="39">
        <v>35202</v>
      </c>
      <c r="G43" s="39">
        <v>35202</v>
      </c>
      <c r="H43" s="93"/>
      <c r="I43" s="93"/>
      <c r="J43" s="93"/>
      <c r="K43" s="41">
        <f>C43+E43+H43</f>
        <v>35202</v>
      </c>
      <c r="L43" s="41">
        <f>C43+F43+I43</f>
        <v>35202</v>
      </c>
      <c r="M43" s="41">
        <f>C43+G43+J43</f>
        <v>35202</v>
      </c>
      <c r="N43" s="23"/>
      <c r="O43" s="23"/>
      <c r="P43" s="23"/>
      <c r="Q43" s="43">
        <f t="shared" ref="Q43:S45" si="0">K43+N43</f>
        <v>35202</v>
      </c>
      <c r="R43" s="43">
        <f t="shared" si="0"/>
        <v>35202</v>
      </c>
      <c r="S43" s="43">
        <f t="shared" si="0"/>
        <v>35202</v>
      </c>
    </row>
    <row r="44" spans="1:19" x14ac:dyDescent="0.25">
      <c r="B44" s="22" t="s">
        <v>236</v>
      </c>
      <c r="C44" s="39">
        <f>184690.5+26739.4</f>
        <v>211429.9</v>
      </c>
      <c r="D44" s="39">
        <v>123250</v>
      </c>
      <c r="E44" s="73">
        <v>-133269.9</v>
      </c>
      <c r="F44" s="73">
        <v>-133269.9</v>
      </c>
      <c r="G44" s="73">
        <v>-133269.9</v>
      </c>
      <c r="H44" s="80"/>
      <c r="I44" s="80"/>
      <c r="J44" s="23"/>
      <c r="K44" s="41">
        <f>$C$44+E44+H44</f>
        <v>78160</v>
      </c>
      <c r="L44" s="41">
        <f>$C$44+F44+I44</f>
        <v>78160</v>
      </c>
      <c r="M44" s="41">
        <f>$C$44+G44+J44</f>
        <v>78160</v>
      </c>
      <c r="N44" s="23"/>
      <c r="O44" s="23"/>
      <c r="P44" s="23"/>
      <c r="Q44" s="43">
        <f t="shared" si="0"/>
        <v>78160</v>
      </c>
      <c r="R44" s="43">
        <f t="shared" si="0"/>
        <v>78160</v>
      </c>
      <c r="S44" s="26">
        <f t="shared" si="0"/>
        <v>78160</v>
      </c>
    </row>
    <row r="45" spans="1:19" x14ac:dyDescent="0.25">
      <c r="B45" s="22" t="s">
        <v>239</v>
      </c>
      <c r="C45" s="39">
        <f>H26*H25</f>
        <v>4400</v>
      </c>
      <c r="D45" s="51">
        <v>0</v>
      </c>
      <c r="E45" s="93">
        <v>0</v>
      </c>
      <c r="F45" s="93">
        <v>-4400</v>
      </c>
      <c r="G45" s="93">
        <v>0</v>
      </c>
      <c r="H45" s="93"/>
      <c r="I45" s="93"/>
      <c r="J45" s="93"/>
      <c r="K45" s="41">
        <f>$C$45+E45+H45</f>
        <v>4400</v>
      </c>
      <c r="L45" s="41">
        <f>$C$45+F45+I45</f>
        <v>0</v>
      </c>
      <c r="M45" s="41">
        <f>$C$45+G45+J45</f>
        <v>4400</v>
      </c>
      <c r="N45" s="23"/>
      <c r="O45" s="23"/>
      <c r="P45" s="23"/>
      <c r="Q45" s="76">
        <f t="shared" si="0"/>
        <v>4400</v>
      </c>
      <c r="R45" s="76">
        <f t="shared" si="0"/>
        <v>0</v>
      </c>
      <c r="S45" s="76">
        <f t="shared" si="0"/>
        <v>4400</v>
      </c>
    </row>
    <row r="46" spans="1:19" ht="28.5" x14ac:dyDescent="0.25">
      <c r="B46" s="18" t="s">
        <v>73</v>
      </c>
      <c r="C46" s="51">
        <f t="shared" ref="C46:J46" si="1">SUM(C42:C45)</f>
        <v>294413.09999999998</v>
      </c>
      <c r="D46" s="51">
        <f t="shared" si="1"/>
        <v>499099.5</v>
      </c>
      <c r="E46" s="41">
        <f t="shared" si="1"/>
        <v>-52370.7</v>
      </c>
      <c r="F46" s="41">
        <f t="shared" si="1"/>
        <v>-56770.7</v>
      </c>
      <c r="G46" s="41">
        <f t="shared" si="1"/>
        <v>-52370.7</v>
      </c>
      <c r="H46" s="41">
        <f t="shared" si="1"/>
        <v>0</v>
      </c>
      <c r="I46" s="19">
        <f t="shared" si="1"/>
        <v>0</v>
      </c>
      <c r="J46" s="19">
        <f t="shared" si="1"/>
        <v>0</v>
      </c>
      <c r="K46" s="41">
        <f>SUM(K42:K45)</f>
        <v>242042.4</v>
      </c>
      <c r="L46" s="41">
        <f>SUM(L42:L45)</f>
        <v>237642.4</v>
      </c>
      <c r="M46" s="41">
        <f>SUM(M42:M45)</f>
        <v>242042.4</v>
      </c>
      <c r="N46" s="4" t="s">
        <v>2</v>
      </c>
      <c r="O46" s="4" t="s">
        <v>2</v>
      </c>
      <c r="P46" s="4" t="s">
        <v>2</v>
      </c>
      <c r="Q46" s="26" t="s">
        <v>2</v>
      </c>
      <c r="R46" s="26" t="s">
        <v>2</v>
      </c>
      <c r="S46" s="26" t="s">
        <v>2</v>
      </c>
    </row>
    <row r="47" spans="1:19" ht="28.5" x14ac:dyDescent="0.25">
      <c r="B47" s="18" t="s">
        <v>60</v>
      </c>
      <c r="C47" s="94"/>
      <c r="D47" s="95"/>
      <c r="E47" s="19" t="s">
        <v>72</v>
      </c>
      <c r="F47" s="19" t="s">
        <v>72</v>
      </c>
      <c r="G47" s="19" t="s">
        <v>72</v>
      </c>
      <c r="H47" s="41" t="s">
        <v>72</v>
      </c>
      <c r="I47" s="19" t="s">
        <v>72</v>
      </c>
      <c r="J47" s="19" t="s">
        <v>72</v>
      </c>
      <c r="K47" s="41"/>
      <c r="L47" s="41"/>
      <c r="M47" s="41"/>
      <c r="N47" s="4" t="s">
        <v>2</v>
      </c>
      <c r="O47" s="4" t="s">
        <v>2</v>
      </c>
      <c r="P47" s="4" t="s">
        <v>2</v>
      </c>
      <c r="Q47" s="26" t="s">
        <v>2</v>
      </c>
      <c r="R47" s="26" t="s">
        <v>2</v>
      </c>
      <c r="S47" s="26" t="s">
        <v>2</v>
      </c>
    </row>
    <row r="48" spans="1:19" ht="29.45" customHeight="1" x14ac:dyDescent="0.25">
      <c r="B48" s="18" t="s">
        <v>61</v>
      </c>
      <c r="C48" s="41">
        <f>C46+C47</f>
        <v>294413.09999999998</v>
      </c>
      <c r="D48" s="41">
        <f>D46+D47</f>
        <v>499099.5</v>
      </c>
      <c r="E48" s="41">
        <f>E46</f>
        <v>-52370.7</v>
      </c>
      <c r="F48" s="19">
        <f t="shared" ref="F48:J48" si="2">F46</f>
        <v>-56770.7</v>
      </c>
      <c r="G48" s="19">
        <f t="shared" si="2"/>
        <v>-52370.7</v>
      </c>
      <c r="H48" s="41">
        <f t="shared" si="2"/>
        <v>0</v>
      </c>
      <c r="I48" s="19">
        <f t="shared" si="2"/>
        <v>0</v>
      </c>
      <c r="J48" s="19">
        <f t="shared" si="2"/>
        <v>0</v>
      </c>
      <c r="K48" s="42">
        <f>K46+K47</f>
        <v>242042.4</v>
      </c>
      <c r="L48" s="42">
        <f t="shared" ref="L48:M48" si="3">L46+L47</f>
        <v>237642.4</v>
      </c>
      <c r="M48" s="42">
        <f t="shared" si="3"/>
        <v>242042.4</v>
      </c>
      <c r="N48" s="4">
        <f>SUM(N42:N45)</f>
        <v>0</v>
      </c>
      <c r="O48" s="4">
        <f t="shared" ref="O48:P48" si="4">SUM(O42:O45)</f>
        <v>0</v>
      </c>
      <c r="P48" s="4">
        <f t="shared" si="4"/>
        <v>0</v>
      </c>
      <c r="Q48" s="43">
        <f>K48+N48</f>
        <v>242042.4</v>
      </c>
      <c r="R48" s="43">
        <f>L48+O48</f>
        <v>237642.4</v>
      </c>
      <c r="S48" s="43">
        <f>M48+P48</f>
        <v>242042.4</v>
      </c>
    </row>
    <row r="50" spans="3:4" x14ac:dyDescent="0.25">
      <c r="C50" s="84"/>
    </row>
    <row r="51" spans="3:4" x14ac:dyDescent="0.25">
      <c r="C51" s="84"/>
      <c r="D51" s="84"/>
    </row>
  </sheetData>
  <mergeCells count="16">
    <mergeCell ref="H40:J40"/>
    <mergeCell ref="K40:M40"/>
    <mergeCell ref="N40:P40"/>
    <mergeCell ref="Q40:S40"/>
    <mergeCell ref="B21:B22"/>
    <mergeCell ref="B23:B24"/>
    <mergeCell ref="B25:B26"/>
    <mergeCell ref="B36:E36"/>
    <mergeCell ref="B40:B41"/>
    <mergeCell ref="E40:G40"/>
    <mergeCell ref="K17:K18"/>
    <mergeCell ref="B17:B18"/>
    <mergeCell ref="C17:C18"/>
    <mergeCell ref="D17:D18"/>
    <mergeCell ref="E17:E18"/>
    <mergeCell ref="F17:J17"/>
  </mergeCells>
  <dataValidations count="4">
    <dataValidation type="custom" allowBlank="1" showInputMessage="1" showErrorMessage="1" sqref="N42:P45" xr:uid="{15026A25-021A-4321-9DA3-96AED6FE817E}">
      <formula1>"-"</formula1>
    </dataValidation>
    <dataValidation showInputMessage="1" showErrorMessage="1" sqref="E19:E26" xr:uid="{F39A71D8-9047-4931-92D3-C25E3DB481A2}"/>
    <dataValidation type="list" allowBlank="1" showInputMessage="1" showErrorMessage="1" sqref="D19:D26" xr:uid="{E74B2E76-7624-4354-A6CE-AF30E9E58B7B}">
      <formula1>$V$2:$V$3</formula1>
    </dataValidation>
    <dataValidation type="list" allowBlank="1" showInputMessage="1" showErrorMessage="1" sqref="B13" xr:uid="{9EEE20BE-01B3-4F98-9C06-B9422B4B245F}">
      <formula1>$U$2:$U$4</formula1>
    </dataValidation>
  </dataValidations>
  <hyperlinks>
    <hyperlink ref="C12" location="_ftn1" display="_ftn1" xr:uid="{999D1977-A4A6-409B-92E8-327CBFA08135}"/>
    <hyperlink ref="D12" location="_ftn2" display="_ftn2" xr:uid="{1DA18C80-73D5-47D6-8AC0-BF02241B256E}"/>
    <hyperlink ref="E12" location="_ftn3" display="_ftn3" xr:uid="{6C3D1058-0A8C-4F52-A88E-E92E696B0AFF}"/>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145" r:id="rId3" name="Check Box 1">
              <controlPr defaultSize="0" autoFill="0" autoLine="0" autoPict="0">
                <anchor moveWithCells="1">
                  <from>
                    <xdr:col>1</xdr:col>
                    <xdr:colOff>85725</xdr:colOff>
                    <xdr:row>32</xdr:row>
                    <xdr:rowOff>0</xdr:rowOff>
                  </from>
                  <to>
                    <xdr:col>2</xdr:col>
                    <xdr:colOff>1171575</xdr:colOff>
                    <xdr:row>33</xdr:row>
                    <xdr:rowOff>38100</xdr:rowOff>
                  </to>
                </anchor>
              </controlPr>
            </control>
          </mc:Choice>
        </mc:AlternateContent>
        <mc:AlternateContent xmlns:mc="http://schemas.openxmlformats.org/markup-compatibility/2006">
          <mc:Choice Requires="x14">
            <control shapeId="6146" r:id="rId4" name="Check Box 2">
              <controlPr defaultSize="0" autoFill="0" autoLine="0" autoPict="0">
                <anchor moveWithCells="1">
                  <from>
                    <xdr:col>1</xdr:col>
                    <xdr:colOff>85725</xdr:colOff>
                    <xdr:row>29</xdr:row>
                    <xdr:rowOff>171450</xdr:rowOff>
                  </from>
                  <to>
                    <xdr:col>3</xdr:col>
                    <xdr:colOff>9525</xdr:colOff>
                    <xdr:row>31</xdr:row>
                    <xdr:rowOff>47625</xdr:rowOff>
                  </to>
                </anchor>
              </controlPr>
            </control>
          </mc:Choice>
        </mc:AlternateContent>
        <mc:AlternateContent xmlns:mc="http://schemas.openxmlformats.org/markup-compatibility/2006">
          <mc:Choice Requires="x14">
            <control shapeId="6147" r:id="rId5" name="Check Box 3">
              <controlPr defaultSize="0" autoFill="0" autoLine="0" autoPict="0">
                <anchor moveWithCells="1">
                  <from>
                    <xdr:col>1</xdr:col>
                    <xdr:colOff>85725</xdr:colOff>
                    <xdr:row>31</xdr:row>
                    <xdr:rowOff>28575</xdr:rowOff>
                  </from>
                  <to>
                    <xdr:col>3</xdr:col>
                    <xdr:colOff>9525</xdr:colOff>
                    <xdr:row>32</xdr:row>
                    <xdr:rowOff>9525</xdr:rowOff>
                  </to>
                </anchor>
              </controlPr>
            </control>
          </mc:Choice>
        </mc:AlternateContent>
        <mc:AlternateContent xmlns:mc="http://schemas.openxmlformats.org/markup-compatibility/2006">
          <mc:Choice Requires="x14">
            <control shapeId="6148" r:id="rId6" name="Check Box 4">
              <controlPr defaultSize="0" autoFill="0" autoLine="0" autoPict="0">
                <anchor moveWithCells="1">
                  <from>
                    <xdr:col>1</xdr:col>
                    <xdr:colOff>95250</xdr:colOff>
                    <xdr:row>33</xdr:row>
                    <xdr:rowOff>9525</xdr:rowOff>
                  </from>
                  <to>
                    <xdr:col>2</xdr:col>
                    <xdr:colOff>571500</xdr:colOff>
                    <xdr:row>34</xdr:row>
                    <xdr:rowOff>9525</xdr:rowOff>
                  </to>
                </anchor>
              </controlPr>
            </control>
          </mc:Choice>
        </mc:AlternateContent>
        <mc:AlternateContent xmlns:mc="http://schemas.openxmlformats.org/markup-compatibility/2006">
          <mc:Choice Requires="x14">
            <control shapeId="6149" r:id="rId7" name="Check Box 5">
              <controlPr defaultSize="0" autoFill="0" autoLine="0" autoPict="0">
                <anchor moveWithCells="1">
                  <from>
                    <xdr:col>1</xdr:col>
                    <xdr:colOff>85725</xdr:colOff>
                    <xdr:row>32</xdr:row>
                    <xdr:rowOff>0</xdr:rowOff>
                  </from>
                  <to>
                    <xdr:col>2</xdr:col>
                    <xdr:colOff>1171575</xdr:colOff>
                    <xdr:row>33</xdr:row>
                    <xdr:rowOff>28575</xdr:rowOff>
                  </to>
                </anchor>
              </controlPr>
            </control>
          </mc:Choice>
        </mc:AlternateContent>
        <mc:AlternateContent xmlns:mc="http://schemas.openxmlformats.org/markup-compatibility/2006">
          <mc:Choice Requires="x14">
            <control shapeId="6150" r:id="rId8" name="Check Box 6">
              <controlPr defaultSize="0" autoFill="0" autoLine="0" autoPict="0">
                <anchor moveWithCells="1">
                  <from>
                    <xdr:col>1</xdr:col>
                    <xdr:colOff>85725</xdr:colOff>
                    <xdr:row>29</xdr:row>
                    <xdr:rowOff>171450</xdr:rowOff>
                  </from>
                  <to>
                    <xdr:col>3</xdr:col>
                    <xdr:colOff>9525</xdr:colOff>
                    <xdr:row>31</xdr:row>
                    <xdr:rowOff>28575</xdr:rowOff>
                  </to>
                </anchor>
              </controlPr>
            </control>
          </mc:Choice>
        </mc:AlternateContent>
        <mc:AlternateContent xmlns:mc="http://schemas.openxmlformats.org/markup-compatibility/2006">
          <mc:Choice Requires="x14">
            <control shapeId="6151" r:id="rId9" name="Check Box 7">
              <controlPr defaultSize="0" autoFill="0" autoLine="0" autoPict="0">
                <anchor moveWithCells="1">
                  <from>
                    <xdr:col>1</xdr:col>
                    <xdr:colOff>85725</xdr:colOff>
                    <xdr:row>31</xdr:row>
                    <xdr:rowOff>28575</xdr:rowOff>
                  </from>
                  <to>
                    <xdr:col>3</xdr:col>
                    <xdr:colOff>9525</xdr:colOff>
                    <xdr:row>32</xdr:row>
                    <xdr:rowOff>0</xdr:rowOff>
                  </to>
                </anchor>
              </controlPr>
            </control>
          </mc:Choice>
        </mc:AlternateContent>
        <mc:AlternateContent xmlns:mc="http://schemas.openxmlformats.org/markup-compatibility/2006">
          <mc:Choice Requires="x14">
            <control shapeId="6152" r:id="rId10" name="Check Box 8">
              <controlPr defaultSize="0" autoFill="0" autoLine="0" autoPict="0">
                <anchor moveWithCells="1">
                  <from>
                    <xdr:col>1</xdr:col>
                    <xdr:colOff>95250</xdr:colOff>
                    <xdr:row>33</xdr:row>
                    <xdr:rowOff>9525</xdr:rowOff>
                  </from>
                  <to>
                    <xdr:col>2</xdr:col>
                    <xdr:colOff>571500</xdr:colOff>
                    <xdr:row>34</xdr:row>
                    <xdr:rowOff>0</xdr:rowOff>
                  </to>
                </anchor>
              </controlPr>
            </control>
          </mc:Choice>
        </mc:AlternateContent>
        <mc:AlternateContent xmlns:mc="http://schemas.openxmlformats.org/markup-compatibility/2006">
          <mc:Choice Requires="x14">
            <control shapeId="6153" r:id="rId11" name="Check Box 9">
              <controlPr defaultSize="0" autoFill="0" autoLine="0" autoPict="0">
                <anchor moveWithCells="1">
                  <from>
                    <xdr:col>1</xdr:col>
                    <xdr:colOff>85725</xdr:colOff>
                    <xdr:row>32</xdr:row>
                    <xdr:rowOff>0</xdr:rowOff>
                  </from>
                  <to>
                    <xdr:col>2</xdr:col>
                    <xdr:colOff>1171575</xdr:colOff>
                    <xdr:row>33</xdr:row>
                    <xdr:rowOff>28575</xdr:rowOff>
                  </to>
                </anchor>
              </controlPr>
            </control>
          </mc:Choice>
        </mc:AlternateContent>
        <mc:AlternateContent xmlns:mc="http://schemas.openxmlformats.org/markup-compatibility/2006">
          <mc:Choice Requires="x14">
            <control shapeId="6154" r:id="rId12" name="Check Box 10">
              <controlPr defaultSize="0" autoFill="0" autoLine="0" autoPict="0">
                <anchor moveWithCells="1">
                  <from>
                    <xdr:col>1</xdr:col>
                    <xdr:colOff>85725</xdr:colOff>
                    <xdr:row>29</xdr:row>
                    <xdr:rowOff>171450</xdr:rowOff>
                  </from>
                  <to>
                    <xdr:col>3</xdr:col>
                    <xdr:colOff>9525</xdr:colOff>
                    <xdr:row>31</xdr:row>
                    <xdr:rowOff>28575</xdr:rowOff>
                  </to>
                </anchor>
              </controlPr>
            </control>
          </mc:Choice>
        </mc:AlternateContent>
        <mc:AlternateContent xmlns:mc="http://schemas.openxmlformats.org/markup-compatibility/2006">
          <mc:Choice Requires="x14">
            <control shapeId="6155" r:id="rId13" name="Check Box 11">
              <controlPr defaultSize="0" autoFill="0" autoLine="0" autoPict="0">
                <anchor moveWithCells="1">
                  <from>
                    <xdr:col>1</xdr:col>
                    <xdr:colOff>85725</xdr:colOff>
                    <xdr:row>31</xdr:row>
                    <xdr:rowOff>28575</xdr:rowOff>
                  </from>
                  <to>
                    <xdr:col>3</xdr:col>
                    <xdr:colOff>9525</xdr:colOff>
                    <xdr:row>32</xdr:row>
                    <xdr:rowOff>0</xdr:rowOff>
                  </to>
                </anchor>
              </controlPr>
            </control>
          </mc:Choice>
        </mc:AlternateContent>
        <mc:AlternateContent xmlns:mc="http://schemas.openxmlformats.org/markup-compatibility/2006">
          <mc:Choice Requires="x14">
            <control shapeId="6156" r:id="rId14" name="Check Box 12">
              <controlPr defaultSize="0" autoFill="0" autoLine="0" autoPict="0">
                <anchor moveWithCells="1">
                  <from>
                    <xdr:col>1</xdr:col>
                    <xdr:colOff>95250</xdr:colOff>
                    <xdr:row>33</xdr:row>
                    <xdr:rowOff>9525</xdr:rowOff>
                  </from>
                  <to>
                    <xdr:col>2</xdr:col>
                    <xdr:colOff>571500</xdr:colOff>
                    <xdr:row>34</xdr:row>
                    <xdr:rowOff>0</xdr:rowOff>
                  </to>
                </anchor>
              </controlPr>
            </control>
          </mc:Choice>
        </mc:AlternateContent>
        <mc:AlternateContent xmlns:mc="http://schemas.openxmlformats.org/markup-compatibility/2006">
          <mc:Choice Requires="x14">
            <control shapeId="6157" r:id="rId15" name="Check Box 13">
              <controlPr defaultSize="0" autoFill="0" autoLine="0" autoPict="0">
                <anchor moveWithCells="1">
                  <from>
                    <xdr:col>1</xdr:col>
                    <xdr:colOff>85725</xdr:colOff>
                    <xdr:row>32</xdr:row>
                    <xdr:rowOff>0</xdr:rowOff>
                  </from>
                  <to>
                    <xdr:col>2</xdr:col>
                    <xdr:colOff>1171575</xdr:colOff>
                    <xdr:row>33</xdr:row>
                    <xdr:rowOff>28575</xdr:rowOff>
                  </to>
                </anchor>
              </controlPr>
            </control>
          </mc:Choice>
        </mc:AlternateContent>
        <mc:AlternateContent xmlns:mc="http://schemas.openxmlformats.org/markup-compatibility/2006">
          <mc:Choice Requires="x14">
            <control shapeId="6158" r:id="rId16" name="Check Box 14">
              <controlPr defaultSize="0" autoFill="0" autoLine="0" autoPict="0">
                <anchor moveWithCells="1">
                  <from>
                    <xdr:col>1</xdr:col>
                    <xdr:colOff>85725</xdr:colOff>
                    <xdr:row>29</xdr:row>
                    <xdr:rowOff>171450</xdr:rowOff>
                  </from>
                  <to>
                    <xdr:col>3</xdr:col>
                    <xdr:colOff>9525</xdr:colOff>
                    <xdr:row>31</xdr:row>
                    <xdr:rowOff>28575</xdr:rowOff>
                  </to>
                </anchor>
              </controlPr>
            </control>
          </mc:Choice>
        </mc:AlternateContent>
        <mc:AlternateContent xmlns:mc="http://schemas.openxmlformats.org/markup-compatibility/2006">
          <mc:Choice Requires="x14">
            <control shapeId="6159" r:id="rId17" name="Check Box 15">
              <controlPr defaultSize="0" autoFill="0" autoLine="0" autoPict="0">
                <anchor moveWithCells="1">
                  <from>
                    <xdr:col>1</xdr:col>
                    <xdr:colOff>85725</xdr:colOff>
                    <xdr:row>31</xdr:row>
                    <xdr:rowOff>28575</xdr:rowOff>
                  </from>
                  <to>
                    <xdr:col>3</xdr:col>
                    <xdr:colOff>9525</xdr:colOff>
                    <xdr:row>32</xdr:row>
                    <xdr:rowOff>0</xdr:rowOff>
                  </to>
                </anchor>
              </controlPr>
            </control>
          </mc:Choice>
        </mc:AlternateContent>
        <mc:AlternateContent xmlns:mc="http://schemas.openxmlformats.org/markup-compatibility/2006">
          <mc:Choice Requires="x14">
            <control shapeId="6160" r:id="rId18" name="Check Box 16">
              <controlPr defaultSize="0" autoFill="0" autoLine="0" autoPict="0">
                <anchor moveWithCells="1">
                  <from>
                    <xdr:col>1</xdr:col>
                    <xdr:colOff>95250</xdr:colOff>
                    <xdr:row>33</xdr:row>
                    <xdr:rowOff>9525</xdr:rowOff>
                  </from>
                  <to>
                    <xdr:col>2</xdr:col>
                    <xdr:colOff>571500</xdr:colOff>
                    <xdr:row>34</xdr:row>
                    <xdr:rowOff>0</xdr:rowOff>
                  </to>
                </anchor>
              </controlPr>
            </control>
          </mc:Choice>
        </mc:AlternateContent>
        <mc:AlternateContent xmlns:mc="http://schemas.openxmlformats.org/markup-compatibility/2006">
          <mc:Choice Requires="x14">
            <control shapeId="6161" r:id="rId19" name="Check Box 17">
              <controlPr defaultSize="0" autoFill="0" autoLine="0" autoPict="0">
                <anchor moveWithCells="1">
                  <from>
                    <xdr:col>1</xdr:col>
                    <xdr:colOff>85725</xdr:colOff>
                    <xdr:row>32</xdr:row>
                    <xdr:rowOff>0</xdr:rowOff>
                  </from>
                  <to>
                    <xdr:col>2</xdr:col>
                    <xdr:colOff>1171575</xdr:colOff>
                    <xdr:row>33</xdr:row>
                    <xdr:rowOff>38100</xdr:rowOff>
                  </to>
                </anchor>
              </controlPr>
            </control>
          </mc:Choice>
        </mc:AlternateContent>
        <mc:AlternateContent xmlns:mc="http://schemas.openxmlformats.org/markup-compatibility/2006">
          <mc:Choice Requires="x14">
            <control shapeId="6162" r:id="rId20" name="Check Box 18">
              <controlPr defaultSize="0" autoFill="0" autoLine="0" autoPict="0">
                <anchor moveWithCells="1">
                  <from>
                    <xdr:col>1</xdr:col>
                    <xdr:colOff>85725</xdr:colOff>
                    <xdr:row>29</xdr:row>
                    <xdr:rowOff>171450</xdr:rowOff>
                  </from>
                  <to>
                    <xdr:col>3</xdr:col>
                    <xdr:colOff>9525</xdr:colOff>
                    <xdr:row>31</xdr:row>
                    <xdr:rowOff>47625</xdr:rowOff>
                  </to>
                </anchor>
              </controlPr>
            </control>
          </mc:Choice>
        </mc:AlternateContent>
        <mc:AlternateContent xmlns:mc="http://schemas.openxmlformats.org/markup-compatibility/2006">
          <mc:Choice Requires="x14">
            <control shapeId="6163" r:id="rId21" name="Check Box 19">
              <controlPr defaultSize="0" autoFill="0" autoLine="0" autoPict="0">
                <anchor moveWithCells="1">
                  <from>
                    <xdr:col>1</xdr:col>
                    <xdr:colOff>85725</xdr:colOff>
                    <xdr:row>31</xdr:row>
                    <xdr:rowOff>28575</xdr:rowOff>
                  </from>
                  <to>
                    <xdr:col>3</xdr:col>
                    <xdr:colOff>9525</xdr:colOff>
                    <xdr:row>32</xdr:row>
                    <xdr:rowOff>9525</xdr:rowOff>
                  </to>
                </anchor>
              </controlPr>
            </control>
          </mc:Choice>
        </mc:AlternateContent>
        <mc:AlternateContent xmlns:mc="http://schemas.openxmlformats.org/markup-compatibility/2006">
          <mc:Choice Requires="x14">
            <control shapeId="6164" r:id="rId22" name="Check Box 20">
              <controlPr defaultSize="0" autoFill="0" autoLine="0" autoPict="0">
                <anchor moveWithCells="1">
                  <from>
                    <xdr:col>1</xdr:col>
                    <xdr:colOff>95250</xdr:colOff>
                    <xdr:row>33</xdr:row>
                    <xdr:rowOff>9525</xdr:rowOff>
                  </from>
                  <to>
                    <xdr:col>2</xdr:col>
                    <xdr:colOff>571500</xdr:colOff>
                    <xdr:row>34</xdr:row>
                    <xdr:rowOff>9525</xdr:rowOff>
                  </to>
                </anchor>
              </controlPr>
            </control>
          </mc:Choice>
        </mc:AlternateContent>
        <mc:AlternateContent xmlns:mc="http://schemas.openxmlformats.org/markup-compatibility/2006">
          <mc:Choice Requires="x14">
            <control shapeId="6165" r:id="rId23" name="Check Box 21">
              <controlPr defaultSize="0" autoFill="0" autoLine="0" autoPict="0">
                <anchor moveWithCells="1">
                  <from>
                    <xdr:col>1</xdr:col>
                    <xdr:colOff>85725</xdr:colOff>
                    <xdr:row>32</xdr:row>
                    <xdr:rowOff>0</xdr:rowOff>
                  </from>
                  <to>
                    <xdr:col>2</xdr:col>
                    <xdr:colOff>1171575</xdr:colOff>
                    <xdr:row>33</xdr:row>
                    <xdr:rowOff>28575</xdr:rowOff>
                  </to>
                </anchor>
              </controlPr>
            </control>
          </mc:Choice>
        </mc:AlternateContent>
        <mc:AlternateContent xmlns:mc="http://schemas.openxmlformats.org/markup-compatibility/2006">
          <mc:Choice Requires="x14">
            <control shapeId="6166" r:id="rId24" name="Check Box 22">
              <controlPr defaultSize="0" autoFill="0" autoLine="0" autoPict="0">
                <anchor moveWithCells="1">
                  <from>
                    <xdr:col>1</xdr:col>
                    <xdr:colOff>85725</xdr:colOff>
                    <xdr:row>29</xdr:row>
                    <xdr:rowOff>171450</xdr:rowOff>
                  </from>
                  <to>
                    <xdr:col>3</xdr:col>
                    <xdr:colOff>9525</xdr:colOff>
                    <xdr:row>31</xdr:row>
                    <xdr:rowOff>28575</xdr:rowOff>
                  </to>
                </anchor>
              </controlPr>
            </control>
          </mc:Choice>
        </mc:AlternateContent>
        <mc:AlternateContent xmlns:mc="http://schemas.openxmlformats.org/markup-compatibility/2006">
          <mc:Choice Requires="x14">
            <control shapeId="6167" r:id="rId25" name="Check Box 23">
              <controlPr defaultSize="0" autoFill="0" autoLine="0" autoPict="0">
                <anchor moveWithCells="1">
                  <from>
                    <xdr:col>1</xdr:col>
                    <xdr:colOff>85725</xdr:colOff>
                    <xdr:row>31</xdr:row>
                    <xdr:rowOff>28575</xdr:rowOff>
                  </from>
                  <to>
                    <xdr:col>3</xdr:col>
                    <xdr:colOff>9525</xdr:colOff>
                    <xdr:row>32</xdr:row>
                    <xdr:rowOff>0</xdr:rowOff>
                  </to>
                </anchor>
              </controlPr>
            </control>
          </mc:Choice>
        </mc:AlternateContent>
        <mc:AlternateContent xmlns:mc="http://schemas.openxmlformats.org/markup-compatibility/2006">
          <mc:Choice Requires="x14">
            <control shapeId="6168" r:id="rId26" name="Check Box 24">
              <controlPr defaultSize="0" autoFill="0" autoLine="0" autoPict="0">
                <anchor moveWithCells="1">
                  <from>
                    <xdr:col>1</xdr:col>
                    <xdr:colOff>95250</xdr:colOff>
                    <xdr:row>33</xdr:row>
                    <xdr:rowOff>9525</xdr:rowOff>
                  </from>
                  <to>
                    <xdr:col>2</xdr:col>
                    <xdr:colOff>571500</xdr:colOff>
                    <xdr:row>34</xdr:row>
                    <xdr:rowOff>0</xdr:rowOff>
                  </to>
                </anchor>
              </controlPr>
            </control>
          </mc:Choice>
        </mc:AlternateContent>
      </controls>
    </mc:Choice>
  </mc:AlternateConten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F18BA-EFE6-43B6-A4BB-79B1BABAE4E8}">
  <dimension ref="A1:W39"/>
  <sheetViews>
    <sheetView topLeftCell="B22" workbookViewId="0">
      <selection activeCell="D36" sqref="D36"/>
    </sheetView>
  </sheetViews>
  <sheetFormatPr defaultRowHeight="15" x14ac:dyDescent="0.25"/>
  <cols>
    <col min="1" max="1" width="6" customWidth="1"/>
    <col min="2" max="2" width="33.140625" customWidth="1"/>
    <col min="3" max="3" width="24.85546875" customWidth="1"/>
    <col min="4" max="4" width="31.5703125" customWidth="1"/>
    <col min="5" max="5" width="40.28515625" customWidth="1"/>
    <col min="6" max="6" width="28.42578125" customWidth="1"/>
    <col min="7" max="7" width="22.28515625" customWidth="1"/>
    <col min="8" max="8" width="12.140625" customWidth="1"/>
    <col min="9" max="10" width="13.85546875" customWidth="1"/>
    <col min="11" max="11" width="18.28515625" bestFit="1" customWidth="1"/>
    <col min="12" max="12" width="13.28515625" customWidth="1"/>
    <col min="13" max="13" width="12.7109375" customWidth="1"/>
    <col min="14" max="14" width="11.5703125" customWidth="1"/>
    <col min="15" max="15" width="11.42578125" customWidth="1"/>
    <col min="16" max="16" width="9.85546875" customWidth="1"/>
    <col min="17" max="19" width="12.85546875"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1165</v>
      </c>
      <c r="E5" s="25" t="s">
        <v>83</v>
      </c>
      <c r="F5" s="20">
        <v>2022</v>
      </c>
      <c r="H5" s="3"/>
      <c r="I5" s="3"/>
      <c r="J5" s="3"/>
    </row>
    <row r="6" spans="1:23" ht="36.75" customHeight="1" x14ac:dyDescent="0.25">
      <c r="B6" s="25" t="s">
        <v>80</v>
      </c>
      <c r="C6" s="132" t="s">
        <v>662</v>
      </c>
      <c r="E6" s="25" t="s">
        <v>84</v>
      </c>
      <c r="F6" s="20">
        <v>2026</v>
      </c>
      <c r="H6" s="3"/>
      <c r="I6" s="3"/>
      <c r="J6" s="3"/>
    </row>
    <row r="7" spans="1:23" ht="18" customHeight="1" x14ac:dyDescent="0.25">
      <c r="B7" s="25" t="s">
        <v>81</v>
      </c>
      <c r="C7" s="20">
        <v>11007</v>
      </c>
      <c r="H7" s="3"/>
      <c r="I7" s="3"/>
      <c r="J7" s="3"/>
    </row>
    <row r="8" spans="1:23" ht="91.5" customHeight="1" x14ac:dyDescent="0.25">
      <c r="B8" s="25" t="s">
        <v>82</v>
      </c>
      <c r="C8" s="297" t="s">
        <v>663</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81.75" x14ac:dyDescent="0.3">
      <c r="B13" s="131" t="s">
        <v>48</v>
      </c>
      <c r="C13" s="133" t="s">
        <v>664</v>
      </c>
      <c r="D13" s="21"/>
      <c r="E13" s="132" t="s">
        <v>665</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1.75" customHeight="1" x14ac:dyDescent="0.25">
      <c r="B17" s="365" t="s">
        <v>89</v>
      </c>
      <c r="C17" s="365" t="s">
        <v>90</v>
      </c>
      <c r="D17" s="365" t="s">
        <v>91</v>
      </c>
      <c r="E17" s="365" t="s">
        <v>92</v>
      </c>
      <c r="F17" s="364" t="s">
        <v>93</v>
      </c>
      <c r="G17" s="364"/>
      <c r="H17" s="364"/>
      <c r="I17" s="364"/>
      <c r="J17" s="364"/>
      <c r="K17" s="364" t="s">
        <v>94</v>
      </c>
    </row>
    <row r="18" spans="1:11" ht="21" customHeight="1" x14ac:dyDescent="0.25">
      <c r="B18" s="365"/>
      <c r="C18" s="365"/>
      <c r="D18" s="365"/>
      <c r="E18" s="365"/>
      <c r="F18" s="27" t="s">
        <v>51</v>
      </c>
      <c r="G18" s="27" t="s">
        <v>52</v>
      </c>
      <c r="H18" s="27" t="s">
        <v>0</v>
      </c>
      <c r="I18" s="27" t="s">
        <v>1</v>
      </c>
      <c r="J18" s="27" t="s">
        <v>3</v>
      </c>
      <c r="K18" s="364"/>
    </row>
    <row r="19" spans="1:11" ht="33" customHeight="1" x14ac:dyDescent="0.25">
      <c r="B19" s="21" t="s">
        <v>666</v>
      </c>
      <c r="C19" s="21" t="s">
        <v>667</v>
      </c>
      <c r="D19" s="21" t="s">
        <v>44</v>
      </c>
      <c r="E19" s="21"/>
      <c r="F19" s="21">
        <v>0</v>
      </c>
      <c r="G19" s="21" t="s">
        <v>668</v>
      </c>
      <c r="H19" s="21" t="s">
        <v>668</v>
      </c>
      <c r="I19" s="21" t="s">
        <v>668</v>
      </c>
      <c r="J19" s="21" t="s">
        <v>668</v>
      </c>
      <c r="K19" s="21"/>
    </row>
    <row r="20" spans="1:11" ht="39.75" customHeight="1" x14ac:dyDescent="0.25"/>
    <row r="21" spans="1:11" ht="17.25" x14ac:dyDescent="0.25">
      <c r="B21" s="3"/>
      <c r="C21" s="3"/>
      <c r="D21" s="3"/>
      <c r="E21" s="3"/>
      <c r="F21" s="3"/>
      <c r="G21" s="3"/>
      <c r="H21" s="3"/>
      <c r="I21" s="3"/>
      <c r="J21" s="3"/>
    </row>
    <row r="22" spans="1:11" ht="15.75" x14ac:dyDescent="0.25">
      <c r="A22" s="12" t="s">
        <v>53</v>
      </c>
      <c r="C22" s="13"/>
      <c r="D22" s="13"/>
      <c r="E22" s="13"/>
      <c r="F22" s="13"/>
      <c r="G22" s="13"/>
      <c r="H22" s="13"/>
      <c r="I22" s="13"/>
      <c r="J22" s="13"/>
    </row>
    <row r="23" spans="1:11" x14ac:dyDescent="0.25">
      <c r="A23" s="14"/>
      <c r="C23" s="15"/>
      <c r="D23" s="15"/>
      <c r="E23" s="15"/>
      <c r="F23" s="15"/>
      <c r="G23" s="15"/>
      <c r="H23" s="15"/>
      <c r="I23" s="15"/>
      <c r="J23" s="15"/>
    </row>
    <row r="24" spans="1:11" x14ac:dyDescent="0.25">
      <c r="A24" s="16" t="s">
        <v>54</v>
      </c>
      <c r="C24" s="17"/>
      <c r="D24" s="17"/>
      <c r="E24" s="13"/>
      <c r="F24" s="13"/>
      <c r="G24" s="13"/>
      <c r="H24" s="13"/>
      <c r="I24" s="13"/>
      <c r="J24" s="13"/>
    </row>
    <row r="25" spans="1:11" x14ac:dyDescent="0.25">
      <c r="B25" s="17"/>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A29" s="16" t="s">
        <v>55</v>
      </c>
      <c r="E29" s="13"/>
      <c r="F29" s="13"/>
      <c r="G29" s="13"/>
      <c r="H29" s="13"/>
      <c r="I29" s="13"/>
      <c r="J29" s="13"/>
    </row>
    <row r="30" spans="1:11" ht="62.25" customHeight="1" x14ac:dyDescent="0.25">
      <c r="B30" s="360" t="s">
        <v>669</v>
      </c>
      <c r="C30" s="361"/>
      <c r="D30" s="361"/>
      <c r="E30" s="362"/>
      <c r="F30" s="13"/>
      <c r="G30" s="13"/>
      <c r="H30" s="13"/>
      <c r="I30" s="13"/>
      <c r="J30" s="13"/>
    </row>
    <row r="31" spans="1:11" ht="17.25" x14ac:dyDescent="0.25">
      <c r="B31" s="3"/>
      <c r="C31" s="3"/>
      <c r="D31" s="3"/>
      <c r="E31" s="13"/>
      <c r="F31" s="13"/>
      <c r="G31" s="13"/>
      <c r="H31" s="13"/>
      <c r="I31" s="13"/>
      <c r="J31" s="13"/>
    </row>
    <row r="32" spans="1:11" x14ac:dyDescent="0.25">
      <c r="A32" s="7" t="s">
        <v>56</v>
      </c>
    </row>
    <row r="34" spans="2:20" ht="43.5" customHeight="1" x14ac:dyDescent="0.25">
      <c r="B34" s="363" t="s">
        <v>95</v>
      </c>
      <c r="C34" s="4" t="s">
        <v>96</v>
      </c>
      <c r="D34" s="4" t="s">
        <v>97</v>
      </c>
      <c r="E34" s="358" t="s">
        <v>98</v>
      </c>
      <c r="F34" s="358"/>
      <c r="G34" s="358"/>
      <c r="H34" s="358" t="s">
        <v>99</v>
      </c>
      <c r="I34" s="358"/>
      <c r="J34" s="358"/>
      <c r="K34" s="358" t="s">
        <v>100</v>
      </c>
      <c r="L34" s="358"/>
      <c r="M34" s="358"/>
      <c r="N34" s="358" t="s">
        <v>101</v>
      </c>
      <c r="O34" s="358"/>
      <c r="P34" s="358"/>
      <c r="Q34" s="359" t="s">
        <v>102</v>
      </c>
      <c r="R34" s="359"/>
      <c r="S34" s="359"/>
    </row>
    <row r="35" spans="2:20" ht="30" customHeight="1" x14ac:dyDescent="0.25">
      <c r="B35" s="363"/>
      <c r="C35" s="4" t="s">
        <v>35</v>
      </c>
      <c r="D35" s="4" t="s">
        <v>36</v>
      </c>
      <c r="E35" s="19" t="s">
        <v>0</v>
      </c>
      <c r="F35" s="19" t="s">
        <v>1</v>
      </c>
      <c r="G35" s="19" t="s">
        <v>3</v>
      </c>
      <c r="H35" s="19" t="s">
        <v>0</v>
      </c>
      <c r="I35" s="19" t="s">
        <v>1</v>
      </c>
      <c r="J35" s="19" t="s">
        <v>3</v>
      </c>
      <c r="K35" s="19" t="s">
        <v>39</v>
      </c>
      <c r="L35" s="19" t="s">
        <v>38</v>
      </c>
      <c r="M35" s="19" t="s">
        <v>37</v>
      </c>
      <c r="N35" s="19" t="s">
        <v>39</v>
      </c>
      <c r="O35" s="19" t="s">
        <v>38</v>
      </c>
      <c r="P35" s="19" t="s">
        <v>37</v>
      </c>
      <c r="Q35" s="26" t="s">
        <v>0</v>
      </c>
      <c r="R35" s="26" t="s">
        <v>1</v>
      </c>
      <c r="S35" s="26" t="s">
        <v>3</v>
      </c>
    </row>
    <row r="36" spans="2:20" ht="80.45" customHeight="1" x14ac:dyDescent="0.25">
      <c r="B36" s="22" t="s">
        <v>706</v>
      </c>
      <c r="C36" s="51">
        <v>0</v>
      </c>
      <c r="D36" s="51">
        <v>500000</v>
      </c>
      <c r="E36" s="93"/>
      <c r="F36" s="93"/>
      <c r="G36" s="93"/>
      <c r="H36" s="93">
        <v>500000</v>
      </c>
      <c r="I36" s="93">
        <v>500000</v>
      </c>
      <c r="J36" s="93">
        <v>500000</v>
      </c>
      <c r="K36" s="52">
        <f>C36+E36+H36</f>
        <v>500000</v>
      </c>
      <c r="L36" s="52">
        <f>C36+F36+I36</f>
        <v>500000</v>
      </c>
      <c r="M36" s="52">
        <f>C36+G36+J36</f>
        <v>500000</v>
      </c>
      <c r="N36" s="93"/>
      <c r="O36" s="93"/>
      <c r="P36" s="93"/>
      <c r="Q36" s="70">
        <f>K36+N36</f>
        <v>500000</v>
      </c>
      <c r="R36" s="70">
        <f>L36+O36</f>
        <v>500000</v>
      </c>
      <c r="S36" s="70">
        <f>M36+P36</f>
        <v>500000</v>
      </c>
      <c r="T36" s="86"/>
    </row>
    <row r="37" spans="2:20" ht="28.5" x14ac:dyDescent="0.25">
      <c r="B37" s="18" t="s">
        <v>73</v>
      </c>
      <c r="C37" s="51">
        <f>+C36</f>
        <v>0</v>
      </c>
      <c r="D37" s="51"/>
      <c r="E37" s="52">
        <f t="shared" ref="E37:J37" si="0">SUM(E36:E36)</f>
        <v>0</v>
      </c>
      <c r="F37" s="52">
        <f t="shared" si="0"/>
        <v>0</v>
      </c>
      <c r="G37" s="52">
        <f t="shared" si="0"/>
        <v>0</v>
      </c>
      <c r="H37" s="52">
        <f t="shared" si="0"/>
        <v>500000</v>
      </c>
      <c r="I37" s="52">
        <f t="shared" si="0"/>
        <v>500000</v>
      </c>
      <c r="J37" s="52">
        <f t="shared" si="0"/>
        <v>500000</v>
      </c>
      <c r="K37" s="52">
        <f>C37+E37+H37</f>
        <v>500000</v>
      </c>
      <c r="L37" s="52">
        <f>C37+F37+I37</f>
        <v>500000</v>
      </c>
      <c r="M37" s="52">
        <f>C37+G37+J37</f>
        <v>500000</v>
      </c>
      <c r="N37" s="82" t="s">
        <v>2</v>
      </c>
      <c r="O37" s="82" t="s">
        <v>2</v>
      </c>
      <c r="P37" s="82" t="s">
        <v>2</v>
      </c>
      <c r="Q37" s="70" t="s">
        <v>2</v>
      </c>
      <c r="R37" s="70" t="s">
        <v>2</v>
      </c>
      <c r="S37" s="70" t="s">
        <v>2</v>
      </c>
      <c r="T37" s="86"/>
    </row>
    <row r="38" spans="2:20" ht="28.5" x14ac:dyDescent="0.25">
      <c r="B38" s="18" t="s">
        <v>60</v>
      </c>
      <c r="C38" s="51"/>
      <c r="D38" s="51"/>
      <c r="E38" s="52" t="s">
        <v>72</v>
      </c>
      <c r="F38" s="52" t="s">
        <v>72</v>
      </c>
      <c r="G38" s="52" t="s">
        <v>72</v>
      </c>
      <c r="H38" s="52" t="s">
        <v>72</v>
      </c>
      <c r="I38" s="52" t="s">
        <v>72</v>
      </c>
      <c r="J38" s="52" t="s">
        <v>72</v>
      </c>
      <c r="K38" s="52">
        <f>C38</f>
        <v>0</v>
      </c>
      <c r="L38" s="52">
        <f>C38</f>
        <v>0</v>
      </c>
      <c r="M38" s="52">
        <f>C38</f>
        <v>0</v>
      </c>
      <c r="N38" s="82" t="s">
        <v>2</v>
      </c>
      <c r="O38" s="82" t="s">
        <v>2</v>
      </c>
      <c r="P38" s="82" t="s">
        <v>2</v>
      </c>
      <c r="Q38" s="70" t="s">
        <v>2</v>
      </c>
      <c r="R38" s="70" t="s">
        <v>2</v>
      </c>
      <c r="S38" s="70" t="s">
        <v>2</v>
      </c>
      <c r="T38" s="86"/>
    </row>
    <row r="39" spans="2:20" s="199" customFormat="1" x14ac:dyDescent="0.25">
      <c r="B39" s="246" t="s">
        <v>698</v>
      </c>
      <c r="C39" s="259">
        <f>SUM(C36:C36)</f>
        <v>0</v>
      </c>
      <c r="D39" s="259">
        <f>SUM(D36:D36)</f>
        <v>500000</v>
      </c>
      <c r="E39" s="259">
        <f>E37</f>
        <v>0</v>
      </c>
      <c r="F39" s="259">
        <f t="shared" ref="F39:J39" si="1">F37</f>
        <v>0</v>
      </c>
      <c r="G39" s="259">
        <f t="shared" si="1"/>
        <v>0</v>
      </c>
      <c r="H39" s="259">
        <f t="shared" si="1"/>
        <v>500000</v>
      </c>
      <c r="I39" s="259">
        <f t="shared" si="1"/>
        <v>500000</v>
      </c>
      <c r="J39" s="259">
        <f t="shared" si="1"/>
        <v>500000</v>
      </c>
      <c r="K39" s="260">
        <f>K37+K38</f>
        <v>500000</v>
      </c>
      <c r="L39" s="260">
        <f t="shared" ref="L39:M39" si="2">L37+L38</f>
        <v>500000</v>
      </c>
      <c r="M39" s="260">
        <f t="shared" si="2"/>
        <v>500000</v>
      </c>
      <c r="N39" s="260">
        <f>SUM(N36:N36)</f>
        <v>0</v>
      </c>
      <c r="O39" s="260">
        <f>SUM(O36:O36)</f>
        <v>0</v>
      </c>
      <c r="P39" s="260">
        <f>SUM(P36:P36)</f>
        <v>0</v>
      </c>
      <c r="Q39" s="263">
        <f>K39+N39</f>
        <v>500000</v>
      </c>
      <c r="R39" s="263">
        <f>L39+O39</f>
        <v>500000</v>
      </c>
      <c r="S39" s="263">
        <f>M39+P39</f>
        <v>500000</v>
      </c>
      <c r="T39" s="293"/>
    </row>
  </sheetData>
  <mergeCells count="13">
    <mergeCell ref="Q34:S34"/>
    <mergeCell ref="B30:E30"/>
    <mergeCell ref="B34:B35"/>
    <mergeCell ref="E34:G34"/>
    <mergeCell ref="H34:J34"/>
    <mergeCell ref="K34:M34"/>
    <mergeCell ref="N34:P34"/>
    <mergeCell ref="K17:K18"/>
    <mergeCell ref="B17:B18"/>
    <mergeCell ref="C17:C18"/>
    <mergeCell ref="D17:D18"/>
    <mergeCell ref="E17:E18"/>
    <mergeCell ref="F17:J17"/>
  </mergeCells>
  <dataValidations count="4">
    <dataValidation type="list" allowBlank="1" showInputMessage="1" showErrorMessage="1" sqref="D19" xr:uid="{F171C319-6993-4F7F-9BBD-C549DFCCFE0A}">
      <formula1>$V$2:$V$3</formula1>
    </dataValidation>
    <dataValidation showInputMessage="1" showErrorMessage="1" sqref="E19" xr:uid="{EEEE4389-FEDB-47B1-B3D7-99B42B5DB70B}"/>
    <dataValidation type="custom" allowBlank="1" showInputMessage="1" showErrorMessage="1" sqref="N36:P36" xr:uid="{5EEFCF67-EC00-44DA-818E-6D6D4C38B3E2}">
      <formula1>"-"</formula1>
    </dataValidation>
    <dataValidation type="list" allowBlank="1" showInputMessage="1" showErrorMessage="1" sqref="B13" xr:uid="{36EDCE19-142D-4F2C-A902-1697DD116EDB}">
      <formula1>$U$2:$U$4</formula1>
    </dataValidation>
  </dataValidations>
  <hyperlinks>
    <hyperlink ref="C12" location="_ftn1" display="_ftn1" xr:uid="{E2A5D4CA-7C7C-4230-AB7E-BF14079A584E}"/>
    <hyperlink ref="D12" location="_ftn2" display="_ftn2" xr:uid="{CBB7B88F-1888-432D-9E9A-3DB451F0E338}"/>
    <hyperlink ref="E12" location="_ftn3" display="_ftn3" xr:uid="{F18E9684-CAAE-4498-9C8C-5FB8298D795E}"/>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2401" r:id="rId3" name="Check Box 1">
              <controlPr defaultSize="0" autoFill="0" autoLine="0" autoPict="0">
                <anchor moveWithCells="1">
                  <from>
                    <xdr:col>1</xdr:col>
                    <xdr:colOff>85725</xdr:colOff>
                    <xdr:row>26</xdr:row>
                    <xdr:rowOff>0</xdr:rowOff>
                  </from>
                  <to>
                    <xdr:col>2</xdr:col>
                    <xdr:colOff>1171575</xdr:colOff>
                    <xdr:row>27</xdr:row>
                    <xdr:rowOff>38100</xdr:rowOff>
                  </to>
                </anchor>
              </controlPr>
            </control>
          </mc:Choice>
        </mc:AlternateContent>
        <mc:AlternateContent xmlns:mc="http://schemas.openxmlformats.org/markup-compatibility/2006">
          <mc:Choice Requires="x14">
            <control shapeId="102402" r:id="rId4" name="Check Box 2">
              <controlPr defaultSize="0" autoFill="0" autoLine="0" autoPict="0">
                <anchor moveWithCells="1">
                  <from>
                    <xdr:col>1</xdr:col>
                    <xdr:colOff>85725</xdr:colOff>
                    <xdr:row>23</xdr:row>
                    <xdr:rowOff>171450</xdr:rowOff>
                  </from>
                  <to>
                    <xdr:col>3</xdr:col>
                    <xdr:colOff>266700</xdr:colOff>
                    <xdr:row>25</xdr:row>
                    <xdr:rowOff>47625</xdr:rowOff>
                  </to>
                </anchor>
              </controlPr>
            </control>
          </mc:Choice>
        </mc:AlternateContent>
        <mc:AlternateContent xmlns:mc="http://schemas.openxmlformats.org/markup-compatibility/2006">
          <mc:Choice Requires="x14">
            <control shapeId="102403" r:id="rId5" name="Check Box 3">
              <controlPr defaultSize="0" autoFill="0" autoLine="0" autoPict="0">
                <anchor moveWithCells="1">
                  <from>
                    <xdr:col>1</xdr:col>
                    <xdr:colOff>85725</xdr:colOff>
                    <xdr:row>25</xdr:row>
                    <xdr:rowOff>28575</xdr:rowOff>
                  </from>
                  <to>
                    <xdr:col>3</xdr:col>
                    <xdr:colOff>266700</xdr:colOff>
                    <xdr:row>26</xdr:row>
                    <xdr:rowOff>9525</xdr:rowOff>
                  </to>
                </anchor>
              </controlPr>
            </control>
          </mc:Choice>
        </mc:AlternateContent>
        <mc:AlternateContent xmlns:mc="http://schemas.openxmlformats.org/markup-compatibility/2006">
          <mc:Choice Requires="x14">
            <control shapeId="102404" r:id="rId6" name="Check Box 4">
              <controlPr defaultSize="0" autoFill="0" autoLine="0" autoPict="0">
                <anchor moveWithCells="1">
                  <from>
                    <xdr:col>1</xdr:col>
                    <xdr:colOff>95250</xdr:colOff>
                    <xdr:row>27</xdr:row>
                    <xdr:rowOff>9525</xdr:rowOff>
                  </from>
                  <to>
                    <xdr:col>2</xdr:col>
                    <xdr:colOff>571500</xdr:colOff>
                    <xdr:row>28</xdr:row>
                    <xdr:rowOff>9525</xdr:rowOff>
                  </to>
                </anchor>
              </controlPr>
            </control>
          </mc:Choice>
        </mc:AlternateContent>
      </controls>
    </mc:Choice>
  </mc:AlternateConten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C7305F-602E-4DB7-9424-45F601009F94}">
  <dimension ref="A1:W39"/>
  <sheetViews>
    <sheetView topLeftCell="E25" workbookViewId="0">
      <selection activeCell="C39" sqref="C39:S39"/>
    </sheetView>
  </sheetViews>
  <sheetFormatPr defaultRowHeight="15" x14ac:dyDescent="0.25"/>
  <cols>
    <col min="1" max="1" width="6" customWidth="1"/>
    <col min="2" max="2" width="33.140625" customWidth="1"/>
    <col min="3" max="3" width="24.85546875" customWidth="1"/>
    <col min="4" max="4" width="31.5703125" customWidth="1"/>
    <col min="5" max="5" width="40.28515625" customWidth="1"/>
    <col min="6" max="6" width="28.42578125" customWidth="1"/>
    <col min="7" max="7" width="22.28515625" customWidth="1"/>
    <col min="8" max="8" width="13.7109375" customWidth="1"/>
    <col min="9" max="10" width="13.85546875" customWidth="1"/>
    <col min="11" max="11" width="16.85546875" customWidth="1"/>
    <col min="12" max="12" width="13.28515625" customWidth="1"/>
    <col min="13" max="13" width="12.7109375" customWidth="1"/>
    <col min="14" max="14" width="11.5703125" customWidth="1"/>
    <col min="15" max="15" width="11.42578125" customWidth="1"/>
    <col min="16" max="16" width="9.85546875" customWidth="1"/>
    <col min="17" max="17" width="11.5703125" customWidth="1"/>
    <col min="18" max="18" width="11" customWidth="1"/>
    <col min="19" max="19" width="11.140625"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1165</v>
      </c>
      <c r="E5" s="25" t="s">
        <v>83</v>
      </c>
      <c r="F5" s="20">
        <v>2023</v>
      </c>
      <c r="H5" s="3"/>
      <c r="I5" s="3"/>
      <c r="J5" s="3"/>
    </row>
    <row r="6" spans="1:23" ht="36.75" customHeight="1" x14ac:dyDescent="0.25">
      <c r="B6" s="25" t="s">
        <v>80</v>
      </c>
      <c r="C6" s="132" t="s">
        <v>670</v>
      </c>
      <c r="E6" s="25" t="s">
        <v>84</v>
      </c>
      <c r="F6" s="20">
        <v>2026</v>
      </c>
      <c r="H6" s="3"/>
      <c r="I6" s="3"/>
      <c r="J6" s="3"/>
    </row>
    <row r="7" spans="1:23" ht="18" customHeight="1" x14ac:dyDescent="0.25">
      <c r="B7" s="25" t="s">
        <v>81</v>
      </c>
      <c r="C7" s="20">
        <v>31003</v>
      </c>
      <c r="H7" s="3"/>
      <c r="I7" s="3"/>
      <c r="J7" s="3"/>
    </row>
    <row r="8" spans="1:23" ht="91.5" customHeight="1" x14ac:dyDescent="0.25">
      <c r="B8" s="25" t="s">
        <v>82</v>
      </c>
      <c r="C8" s="232" t="s">
        <v>671</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81.75" x14ac:dyDescent="0.3">
      <c r="B13" s="131" t="s">
        <v>48</v>
      </c>
      <c r="C13" s="133" t="s">
        <v>664</v>
      </c>
      <c r="D13" s="21"/>
      <c r="E13" s="132" t="s">
        <v>672</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1.75" customHeight="1" x14ac:dyDescent="0.25">
      <c r="B17" s="365" t="s">
        <v>89</v>
      </c>
      <c r="C17" s="365" t="s">
        <v>90</v>
      </c>
      <c r="D17" s="365" t="s">
        <v>91</v>
      </c>
      <c r="E17" s="365" t="s">
        <v>92</v>
      </c>
      <c r="F17" s="364" t="s">
        <v>93</v>
      </c>
      <c r="G17" s="364"/>
      <c r="H17" s="364"/>
      <c r="I17" s="364"/>
      <c r="J17" s="364"/>
      <c r="K17" s="364" t="s">
        <v>94</v>
      </c>
    </row>
    <row r="18" spans="1:11" ht="21" customHeight="1" x14ac:dyDescent="0.25">
      <c r="B18" s="365"/>
      <c r="C18" s="365"/>
      <c r="D18" s="365"/>
      <c r="E18" s="365"/>
      <c r="F18" s="27" t="s">
        <v>51</v>
      </c>
      <c r="G18" s="27" t="s">
        <v>52</v>
      </c>
      <c r="H18" s="27" t="s">
        <v>0</v>
      </c>
      <c r="I18" s="27" t="s">
        <v>1</v>
      </c>
      <c r="J18" s="27" t="s">
        <v>3</v>
      </c>
      <c r="K18" s="364"/>
    </row>
    <row r="19" spans="1:11" ht="33" customHeight="1" x14ac:dyDescent="0.25">
      <c r="B19" s="21" t="s">
        <v>673</v>
      </c>
      <c r="C19" s="21" t="s">
        <v>667</v>
      </c>
      <c r="D19" s="21" t="s">
        <v>44</v>
      </c>
      <c r="E19" s="21"/>
      <c r="F19" s="21">
        <v>0</v>
      </c>
      <c r="G19" s="21" t="s">
        <v>674</v>
      </c>
      <c r="H19" s="21" t="s">
        <v>674</v>
      </c>
      <c r="I19" s="21" t="s">
        <v>674</v>
      </c>
      <c r="J19" s="21" t="s">
        <v>674</v>
      </c>
      <c r="K19" s="21"/>
    </row>
    <row r="20" spans="1:11" ht="39.75" customHeight="1" x14ac:dyDescent="0.25"/>
    <row r="21" spans="1:11" ht="17.25" x14ac:dyDescent="0.25">
      <c r="B21" s="3"/>
      <c r="C21" s="3"/>
      <c r="D21" s="3"/>
      <c r="E21" s="3"/>
      <c r="F21" s="3"/>
      <c r="G21" s="3"/>
      <c r="H21" s="3"/>
      <c r="I21" s="3"/>
      <c r="J21" s="3"/>
    </row>
    <row r="22" spans="1:11" ht="15.75" x14ac:dyDescent="0.25">
      <c r="A22" s="12" t="s">
        <v>53</v>
      </c>
      <c r="C22" s="13"/>
      <c r="D22" s="13"/>
      <c r="E22" s="13"/>
      <c r="F22" s="13"/>
      <c r="G22" s="13"/>
      <c r="H22" s="13"/>
      <c r="I22" s="13"/>
      <c r="J22" s="13"/>
    </row>
    <row r="23" spans="1:11" x14ac:dyDescent="0.25">
      <c r="A23" s="14"/>
      <c r="C23" s="15"/>
      <c r="D23" s="15"/>
      <c r="E23" s="15"/>
      <c r="F23" s="15"/>
      <c r="G23" s="15"/>
      <c r="H23" s="15"/>
      <c r="I23" s="15"/>
      <c r="J23" s="15"/>
    </row>
    <row r="24" spans="1:11" x14ac:dyDescent="0.25">
      <c r="A24" s="16" t="s">
        <v>54</v>
      </c>
      <c r="C24" s="17"/>
      <c r="D24" s="17"/>
      <c r="E24" s="13"/>
      <c r="F24" s="13"/>
      <c r="G24" s="13"/>
      <c r="H24" s="13"/>
      <c r="I24" s="13"/>
      <c r="J24" s="13"/>
    </row>
    <row r="25" spans="1:11" x14ac:dyDescent="0.25">
      <c r="B25" s="17"/>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A29" s="16" t="s">
        <v>55</v>
      </c>
      <c r="E29" s="13"/>
      <c r="F29" s="13"/>
      <c r="G29" s="13"/>
      <c r="H29" s="13"/>
      <c r="I29" s="13"/>
      <c r="J29" s="13"/>
    </row>
    <row r="30" spans="1:11" x14ac:dyDescent="0.25">
      <c r="B30" s="360" t="s">
        <v>669</v>
      </c>
      <c r="C30" s="361"/>
      <c r="D30" s="361"/>
      <c r="E30" s="362"/>
      <c r="F30" s="13"/>
      <c r="G30" s="13"/>
      <c r="H30" s="13"/>
      <c r="I30" s="13"/>
      <c r="J30" s="13"/>
    </row>
    <row r="31" spans="1:11" ht="17.25" x14ac:dyDescent="0.25">
      <c r="B31" s="3"/>
      <c r="C31" s="3"/>
      <c r="D31" s="3"/>
      <c r="E31" s="13"/>
      <c r="F31" s="13"/>
      <c r="G31" s="13"/>
      <c r="H31" s="13"/>
      <c r="I31" s="13"/>
      <c r="J31" s="13"/>
    </row>
    <row r="32" spans="1:11" x14ac:dyDescent="0.25">
      <c r="A32" s="7" t="s">
        <v>56</v>
      </c>
    </row>
    <row r="34" spans="2:19" ht="43.5" customHeight="1" x14ac:dyDescent="0.25">
      <c r="B34" s="363" t="s">
        <v>95</v>
      </c>
      <c r="C34" s="4" t="s">
        <v>96</v>
      </c>
      <c r="D34" s="4" t="s">
        <v>97</v>
      </c>
      <c r="E34" s="358" t="s">
        <v>98</v>
      </c>
      <c r="F34" s="358"/>
      <c r="G34" s="358"/>
      <c r="H34" s="358" t="s">
        <v>99</v>
      </c>
      <c r="I34" s="358"/>
      <c r="J34" s="358"/>
      <c r="K34" s="358" t="s">
        <v>100</v>
      </c>
      <c r="L34" s="358"/>
      <c r="M34" s="358"/>
      <c r="N34" s="358" t="s">
        <v>101</v>
      </c>
      <c r="O34" s="358"/>
      <c r="P34" s="358"/>
      <c r="Q34" s="359" t="s">
        <v>102</v>
      </c>
      <c r="R34" s="359"/>
      <c r="S34" s="359"/>
    </row>
    <row r="35" spans="2:19" ht="30" customHeight="1" x14ac:dyDescent="0.25">
      <c r="B35" s="363"/>
      <c r="C35" s="4" t="s">
        <v>35</v>
      </c>
      <c r="D35" s="4" t="s">
        <v>36</v>
      </c>
      <c r="E35" s="19" t="s">
        <v>0</v>
      </c>
      <c r="F35" s="19" t="s">
        <v>1</v>
      </c>
      <c r="G35" s="19" t="s">
        <v>3</v>
      </c>
      <c r="H35" s="19" t="s">
        <v>0</v>
      </c>
      <c r="I35" s="19" t="s">
        <v>1</v>
      </c>
      <c r="J35" s="19" t="s">
        <v>3</v>
      </c>
      <c r="K35" s="19" t="s">
        <v>39</v>
      </c>
      <c r="L35" s="19" t="s">
        <v>38</v>
      </c>
      <c r="M35" s="19" t="s">
        <v>37</v>
      </c>
      <c r="N35" s="19" t="s">
        <v>39</v>
      </c>
      <c r="O35" s="19" t="s">
        <v>38</v>
      </c>
      <c r="P35" s="19" t="s">
        <v>37</v>
      </c>
      <c r="Q35" s="26" t="s">
        <v>0</v>
      </c>
      <c r="R35" s="26" t="s">
        <v>1</v>
      </c>
      <c r="S35" s="26" t="s">
        <v>3</v>
      </c>
    </row>
    <row r="36" spans="2:19" ht="33" customHeight="1" x14ac:dyDescent="0.25">
      <c r="B36" s="22" t="s">
        <v>707</v>
      </c>
      <c r="C36" s="22">
        <v>0</v>
      </c>
      <c r="D36" s="51">
        <v>4000000</v>
      </c>
      <c r="E36" s="22">
        <v>0</v>
      </c>
      <c r="F36" s="22">
        <v>0</v>
      </c>
      <c r="G36" s="22">
        <v>0</v>
      </c>
      <c r="H36" s="51">
        <v>4000000</v>
      </c>
      <c r="I36" s="51">
        <v>4000000</v>
      </c>
      <c r="J36" s="51">
        <v>4000000</v>
      </c>
      <c r="K36" s="52">
        <f>C36+E36+H36</f>
        <v>4000000</v>
      </c>
      <c r="L36" s="52">
        <f>C36+F36+I36</f>
        <v>4000000</v>
      </c>
      <c r="M36" s="52">
        <f>C36+G36+J36</f>
        <v>4000000</v>
      </c>
      <c r="N36" s="93"/>
      <c r="O36" s="93"/>
      <c r="P36" s="23"/>
      <c r="Q36" s="26">
        <f>K36+N36</f>
        <v>4000000</v>
      </c>
      <c r="R36" s="26">
        <f>L36+O36</f>
        <v>4000000</v>
      </c>
      <c r="S36" s="26">
        <f>M36+P36</f>
        <v>4000000</v>
      </c>
    </row>
    <row r="37" spans="2:19" ht="28.5" x14ac:dyDescent="0.25">
      <c r="B37" s="18" t="s">
        <v>73</v>
      </c>
      <c r="C37" s="22">
        <v>0</v>
      </c>
      <c r="D37" s="51"/>
      <c r="E37" s="19">
        <f t="shared" ref="E37:J37" si="0">SUM(E36:E36)</f>
        <v>0</v>
      </c>
      <c r="F37" s="19">
        <f t="shared" si="0"/>
        <v>0</v>
      </c>
      <c r="G37" s="19">
        <f t="shared" si="0"/>
        <v>0</v>
      </c>
      <c r="H37" s="52">
        <f t="shared" si="0"/>
        <v>4000000</v>
      </c>
      <c r="I37" s="52">
        <f t="shared" si="0"/>
        <v>4000000</v>
      </c>
      <c r="J37" s="52">
        <f t="shared" si="0"/>
        <v>4000000</v>
      </c>
      <c r="K37" s="52">
        <f>C37+E37+H37</f>
        <v>4000000</v>
      </c>
      <c r="L37" s="52">
        <f>C37+F37+I37</f>
        <v>4000000</v>
      </c>
      <c r="M37" s="52">
        <f>C37+G37+J37</f>
        <v>4000000</v>
      </c>
      <c r="N37" s="82" t="s">
        <v>2</v>
      </c>
      <c r="O37" s="82" t="s">
        <v>2</v>
      </c>
      <c r="P37" s="4" t="s">
        <v>2</v>
      </c>
      <c r="Q37" s="26" t="s">
        <v>2</v>
      </c>
      <c r="R37" s="26" t="s">
        <v>2</v>
      </c>
      <c r="S37" s="26" t="s">
        <v>2</v>
      </c>
    </row>
    <row r="38" spans="2:19" ht="28.5" x14ac:dyDescent="0.25">
      <c r="B38" s="18" t="s">
        <v>60</v>
      </c>
      <c r="C38" s="22"/>
      <c r="D38" s="51"/>
      <c r="E38" s="19" t="s">
        <v>72</v>
      </c>
      <c r="F38" s="19" t="s">
        <v>72</v>
      </c>
      <c r="G38" s="19" t="s">
        <v>72</v>
      </c>
      <c r="H38" s="52" t="s">
        <v>72</v>
      </c>
      <c r="I38" s="52" t="s">
        <v>72</v>
      </c>
      <c r="J38" s="52" t="s">
        <v>72</v>
      </c>
      <c r="K38" s="52">
        <f>C38</f>
        <v>0</v>
      </c>
      <c r="L38" s="52">
        <f>C38</f>
        <v>0</v>
      </c>
      <c r="M38" s="52">
        <f>C38</f>
        <v>0</v>
      </c>
      <c r="N38" s="82" t="s">
        <v>2</v>
      </c>
      <c r="O38" s="82" t="s">
        <v>2</v>
      </c>
      <c r="P38" s="4" t="s">
        <v>2</v>
      </c>
      <c r="Q38" s="26" t="s">
        <v>2</v>
      </c>
      <c r="R38" s="26" t="s">
        <v>2</v>
      </c>
      <c r="S38" s="26" t="s">
        <v>2</v>
      </c>
    </row>
    <row r="39" spans="2:19" s="199" customFormat="1" ht="30.6" customHeight="1" x14ac:dyDescent="0.25">
      <c r="B39" s="246" t="s">
        <v>698</v>
      </c>
      <c r="C39" s="255">
        <f>SUM(C36:C36)</f>
        <v>0</v>
      </c>
      <c r="D39" s="259">
        <f>SUM(D36:D36)</f>
        <v>4000000</v>
      </c>
      <c r="E39" s="255">
        <f>E37</f>
        <v>0</v>
      </c>
      <c r="F39" s="255">
        <f t="shared" ref="F39:J39" si="1">F37</f>
        <v>0</v>
      </c>
      <c r="G39" s="255">
        <f t="shared" si="1"/>
        <v>0</v>
      </c>
      <c r="H39" s="259">
        <f t="shared" si="1"/>
        <v>4000000</v>
      </c>
      <c r="I39" s="259">
        <f t="shared" si="1"/>
        <v>4000000</v>
      </c>
      <c r="J39" s="259">
        <f t="shared" si="1"/>
        <v>4000000</v>
      </c>
      <c r="K39" s="260">
        <f>K37+K38</f>
        <v>4000000</v>
      </c>
      <c r="L39" s="260">
        <f t="shared" ref="L39:M39" si="2">L37+L38</f>
        <v>4000000</v>
      </c>
      <c r="M39" s="260">
        <f t="shared" si="2"/>
        <v>4000000</v>
      </c>
      <c r="N39" s="260">
        <f>SUM(N36:N36)</f>
        <v>0</v>
      </c>
      <c r="O39" s="260">
        <f>SUM(O36:O36)</f>
        <v>0</v>
      </c>
      <c r="P39" s="256">
        <f>SUM(P36:P36)</f>
        <v>0</v>
      </c>
      <c r="Q39" s="276">
        <f>K39+N39</f>
        <v>4000000</v>
      </c>
      <c r="R39" s="276">
        <f>L39+O39</f>
        <v>4000000</v>
      </c>
      <c r="S39" s="276">
        <f>M39+P39</f>
        <v>4000000</v>
      </c>
    </row>
  </sheetData>
  <mergeCells count="13">
    <mergeCell ref="Q34:S34"/>
    <mergeCell ref="B30:E30"/>
    <mergeCell ref="B34:B35"/>
    <mergeCell ref="E34:G34"/>
    <mergeCell ref="H34:J34"/>
    <mergeCell ref="K34:M34"/>
    <mergeCell ref="N34:P34"/>
    <mergeCell ref="K17:K18"/>
    <mergeCell ref="B17:B18"/>
    <mergeCell ref="C17:C18"/>
    <mergeCell ref="D17:D18"/>
    <mergeCell ref="E17:E18"/>
    <mergeCell ref="F17:J17"/>
  </mergeCells>
  <dataValidations count="4">
    <dataValidation type="list" allowBlank="1" showInputMessage="1" showErrorMessage="1" sqref="D19" xr:uid="{388073ED-2A9D-491A-968E-C0976CD19183}">
      <formula1>$V$2:$V$3</formula1>
    </dataValidation>
    <dataValidation showInputMessage="1" showErrorMessage="1" sqref="E19" xr:uid="{78B0895E-10CA-4227-B8A6-D1D5874338B5}"/>
    <dataValidation type="custom" allowBlank="1" showInputMessage="1" showErrorMessage="1" sqref="N36:P36" xr:uid="{098D105D-3AEC-4A86-961C-934FAE1117AE}">
      <formula1>"-"</formula1>
    </dataValidation>
    <dataValidation type="list" allowBlank="1" showInputMessage="1" showErrorMessage="1" sqref="B13" xr:uid="{20F6360A-5F2B-4D98-9848-A0B57A8461C3}">
      <formula1>$U$2:$U$4</formula1>
    </dataValidation>
  </dataValidations>
  <hyperlinks>
    <hyperlink ref="C12" location="_ftn1" display="_ftn1" xr:uid="{64483BD8-7F9A-4783-AD30-385DC90DC648}"/>
    <hyperlink ref="D12" location="_ftn2" display="_ftn2" xr:uid="{50620288-2B27-4C67-B3DE-D786B3077625}"/>
    <hyperlink ref="E12" location="_ftn3" display="_ftn3" xr:uid="{651A3682-F947-4B02-9FF4-47219D401453}"/>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3425" r:id="rId3" name="Check Box 1">
              <controlPr defaultSize="0" autoFill="0" autoLine="0" autoPict="0">
                <anchor moveWithCells="1">
                  <from>
                    <xdr:col>1</xdr:col>
                    <xdr:colOff>85725</xdr:colOff>
                    <xdr:row>26</xdr:row>
                    <xdr:rowOff>0</xdr:rowOff>
                  </from>
                  <to>
                    <xdr:col>2</xdr:col>
                    <xdr:colOff>1171575</xdr:colOff>
                    <xdr:row>27</xdr:row>
                    <xdr:rowOff>38100</xdr:rowOff>
                  </to>
                </anchor>
              </controlPr>
            </control>
          </mc:Choice>
        </mc:AlternateContent>
        <mc:AlternateContent xmlns:mc="http://schemas.openxmlformats.org/markup-compatibility/2006">
          <mc:Choice Requires="x14">
            <control shapeId="103426" r:id="rId4" name="Check Box 2">
              <controlPr defaultSize="0" autoFill="0" autoLine="0" autoPict="0">
                <anchor moveWithCells="1">
                  <from>
                    <xdr:col>1</xdr:col>
                    <xdr:colOff>85725</xdr:colOff>
                    <xdr:row>23</xdr:row>
                    <xdr:rowOff>171450</xdr:rowOff>
                  </from>
                  <to>
                    <xdr:col>3</xdr:col>
                    <xdr:colOff>266700</xdr:colOff>
                    <xdr:row>25</xdr:row>
                    <xdr:rowOff>47625</xdr:rowOff>
                  </to>
                </anchor>
              </controlPr>
            </control>
          </mc:Choice>
        </mc:AlternateContent>
        <mc:AlternateContent xmlns:mc="http://schemas.openxmlformats.org/markup-compatibility/2006">
          <mc:Choice Requires="x14">
            <control shapeId="103427" r:id="rId5" name="Check Box 3">
              <controlPr defaultSize="0" autoFill="0" autoLine="0" autoPict="0">
                <anchor moveWithCells="1">
                  <from>
                    <xdr:col>1</xdr:col>
                    <xdr:colOff>85725</xdr:colOff>
                    <xdr:row>25</xdr:row>
                    <xdr:rowOff>28575</xdr:rowOff>
                  </from>
                  <to>
                    <xdr:col>3</xdr:col>
                    <xdr:colOff>266700</xdr:colOff>
                    <xdr:row>26</xdr:row>
                    <xdr:rowOff>9525</xdr:rowOff>
                  </to>
                </anchor>
              </controlPr>
            </control>
          </mc:Choice>
        </mc:AlternateContent>
        <mc:AlternateContent xmlns:mc="http://schemas.openxmlformats.org/markup-compatibility/2006">
          <mc:Choice Requires="x14">
            <control shapeId="103428" r:id="rId6" name="Check Box 4">
              <controlPr defaultSize="0" autoFill="0" autoLine="0" autoPict="0">
                <anchor moveWithCells="1">
                  <from>
                    <xdr:col>1</xdr:col>
                    <xdr:colOff>95250</xdr:colOff>
                    <xdr:row>27</xdr:row>
                    <xdr:rowOff>9525</xdr:rowOff>
                  </from>
                  <to>
                    <xdr:col>2</xdr:col>
                    <xdr:colOff>571500</xdr:colOff>
                    <xdr:row>28</xdr:row>
                    <xdr:rowOff>9525</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A29C0-3C96-4928-9710-329E2A17E84B}">
  <dimension ref="A1:W44"/>
  <sheetViews>
    <sheetView topLeftCell="A19" workbookViewId="0">
      <selection activeCell="S40" sqref="C40:S40"/>
    </sheetView>
  </sheetViews>
  <sheetFormatPr defaultRowHeight="15" x14ac:dyDescent="0.25"/>
  <cols>
    <col min="1" max="1" width="6" customWidth="1"/>
    <col min="2" max="2" width="33.140625" customWidth="1"/>
    <col min="3" max="3" width="29.85546875" customWidth="1"/>
    <col min="4" max="4" width="31.5703125" customWidth="1"/>
    <col min="5" max="5" width="40" customWidth="1"/>
    <col min="6" max="6" width="24.5703125" customWidth="1"/>
    <col min="7" max="7" width="22.5703125" customWidth="1"/>
    <col min="8" max="9" width="10.42578125" customWidth="1"/>
    <col min="10" max="10" width="15.28515625" customWidth="1"/>
    <col min="11" max="11" width="18.28515625" bestFit="1" customWidth="1"/>
    <col min="12" max="12" width="13.5703125" customWidth="1"/>
    <col min="13" max="13" width="13" customWidth="1"/>
    <col min="14" max="14" width="9.5703125" customWidth="1"/>
    <col min="15" max="15" width="8.140625" customWidth="1"/>
    <col min="16" max="16" width="8" customWidth="1"/>
    <col min="17" max="17" width="13" customWidth="1"/>
    <col min="18" max="18" width="13.85546875" customWidth="1"/>
    <col min="19" max="20" width="13.5703125" customWidth="1"/>
    <col min="21" max="23" width="0"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1187</v>
      </c>
      <c r="E5" s="25" t="s">
        <v>83</v>
      </c>
      <c r="F5" s="20" t="s">
        <v>504</v>
      </c>
      <c r="H5" s="3"/>
      <c r="I5" s="3"/>
      <c r="J5" s="3"/>
    </row>
    <row r="6" spans="1:23" ht="39" customHeight="1" x14ac:dyDescent="0.25">
      <c r="B6" s="25" t="s">
        <v>80</v>
      </c>
      <c r="C6" s="201" t="s">
        <v>505</v>
      </c>
      <c r="E6" s="25" t="s">
        <v>84</v>
      </c>
      <c r="F6" s="20" t="s">
        <v>528</v>
      </c>
      <c r="H6" s="3"/>
      <c r="I6" s="3"/>
      <c r="J6" s="3"/>
    </row>
    <row r="7" spans="1:23" ht="18" customHeight="1" x14ac:dyDescent="0.25">
      <c r="B7" s="25" t="s">
        <v>81</v>
      </c>
      <c r="C7" s="20">
        <v>12002</v>
      </c>
      <c r="H7" s="3"/>
      <c r="I7" s="3"/>
      <c r="J7" s="3"/>
    </row>
    <row r="8" spans="1:23" ht="80.25" customHeight="1" x14ac:dyDescent="0.25">
      <c r="B8" s="25" t="s">
        <v>82</v>
      </c>
      <c r="C8" s="201" t="s">
        <v>529</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230.25" x14ac:dyDescent="0.3">
      <c r="B13" s="30" t="s">
        <v>46</v>
      </c>
      <c r="C13" s="133" t="s">
        <v>508</v>
      </c>
      <c r="D13" s="21"/>
      <c r="E13" s="22" t="s">
        <v>530</v>
      </c>
      <c r="F13" s="9"/>
      <c r="G13" s="3"/>
      <c r="H13" s="3"/>
      <c r="I13" s="3"/>
      <c r="J13" s="9"/>
    </row>
    <row r="14" spans="1:23" ht="122.25" x14ac:dyDescent="0.3">
      <c r="B14" s="21" t="s">
        <v>46</v>
      </c>
      <c r="C14" s="133" t="s">
        <v>510</v>
      </c>
      <c r="D14" s="21"/>
      <c r="E14" s="32" t="s">
        <v>511</v>
      </c>
      <c r="F14" s="9"/>
      <c r="G14" s="3"/>
      <c r="H14" s="3"/>
      <c r="I14" s="3"/>
      <c r="J14" s="9"/>
    </row>
    <row r="15" spans="1:23" ht="95.25" x14ac:dyDescent="0.3">
      <c r="B15" s="21" t="s">
        <v>46</v>
      </c>
      <c r="C15" s="133" t="s">
        <v>512</v>
      </c>
      <c r="D15" s="21"/>
      <c r="E15" s="32" t="s">
        <v>513</v>
      </c>
      <c r="F15" s="9"/>
      <c r="G15" s="3"/>
      <c r="H15" s="3"/>
      <c r="I15" s="3"/>
      <c r="J15" s="9"/>
    </row>
    <row r="16" spans="1:23" ht="17.25" x14ac:dyDescent="0.3">
      <c r="B16" s="11"/>
      <c r="C16" s="11"/>
      <c r="D16" s="11"/>
      <c r="E16" s="11"/>
      <c r="F16" s="3"/>
      <c r="G16" s="3"/>
      <c r="H16" s="3"/>
      <c r="I16" s="3"/>
      <c r="J16" s="9"/>
    </row>
    <row r="17" spans="1:11" ht="17.25" x14ac:dyDescent="0.3">
      <c r="A17" s="7" t="s">
        <v>50</v>
      </c>
      <c r="C17" s="3"/>
      <c r="D17" s="3"/>
      <c r="E17" s="3"/>
      <c r="F17" s="3"/>
      <c r="G17" s="3"/>
      <c r="H17" s="3"/>
      <c r="I17" s="3"/>
      <c r="J17" s="9"/>
    </row>
    <row r="18" spans="1:11" ht="17.25" x14ac:dyDescent="0.3">
      <c r="B18" s="11"/>
      <c r="C18" s="3"/>
      <c r="D18" s="3"/>
      <c r="E18" s="3"/>
      <c r="F18" s="3"/>
      <c r="G18" s="3"/>
      <c r="H18" s="3"/>
      <c r="I18" s="3"/>
      <c r="J18" s="9"/>
    </row>
    <row r="19" spans="1:11" ht="15" customHeight="1" x14ac:dyDescent="0.25">
      <c r="B19" s="365" t="s">
        <v>89</v>
      </c>
      <c r="C19" s="365" t="s">
        <v>90</v>
      </c>
      <c r="D19" s="365" t="s">
        <v>91</v>
      </c>
      <c r="E19" s="365" t="s">
        <v>92</v>
      </c>
      <c r="F19" s="364" t="s">
        <v>93</v>
      </c>
      <c r="G19" s="364"/>
      <c r="H19" s="364"/>
      <c r="I19" s="364"/>
      <c r="J19" s="364"/>
      <c r="K19" s="364" t="s">
        <v>94</v>
      </c>
    </row>
    <row r="20" spans="1:11" ht="27" x14ac:dyDescent="0.25">
      <c r="B20" s="365"/>
      <c r="C20" s="365"/>
      <c r="D20" s="365"/>
      <c r="E20" s="365"/>
      <c r="F20" s="27" t="s">
        <v>51</v>
      </c>
      <c r="G20" s="27" t="s">
        <v>52</v>
      </c>
      <c r="H20" s="27" t="s">
        <v>0</v>
      </c>
      <c r="I20" s="27" t="s">
        <v>1</v>
      </c>
      <c r="J20" s="27" t="s">
        <v>3</v>
      </c>
      <c r="K20" s="364"/>
    </row>
    <row r="21" spans="1:11" ht="68.25" customHeight="1" x14ac:dyDescent="0.25">
      <c r="B21" s="133" t="s">
        <v>531</v>
      </c>
      <c r="C21" s="21" t="s">
        <v>515</v>
      </c>
      <c r="D21" s="21" t="s">
        <v>47</v>
      </c>
      <c r="E21" s="133" t="s">
        <v>532</v>
      </c>
      <c r="F21" s="136">
        <v>1446.0723</v>
      </c>
      <c r="G21" s="21"/>
      <c r="H21" s="21"/>
      <c r="I21" s="21"/>
      <c r="J21" s="21"/>
      <c r="K21" s="22" t="s">
        <v>517</v>
      </c>
    </row>
    <row r="22" spans="1:11" ht="17.25" x14ac:dyDescent="0.25">
      <c r="B22" s="3"/>
      <c r="C22" s="3"/>
      <c r="D22" s="3"/>
      <c r="E22" s="3"/>
      <c r="F22" s="3"/>
      <c r="G22" s="3"/>
      <c r="H22" s="3"/>
      <c r="I22" s="3"/>
      <c r="J22" s="3"/>
    </row>
    <row r="23" spans="1:11" ht="15.75" x14ac:dyDescent="0.25">
      <c r="A23" s="12" t="s">
        <v>53</v>
      </c>
      <c r="C23" s="13"/>
      <c r="D23" s="13"/>
      <c r="E23" s="13"/>
      <c r="F23" s="13"/>
      <c r="G23" s="13"/>
      <c r="H23" s="13"/>
      <c r="I23" s="13"/>
      <c r="J23" s="13"/>
    </row>
    <row r="24" spans="1:11" x14ac:dyDescent="0.25">
      <c r="A24" s="14"/>
      <c r="C24" s="15"/>
      <c r="D24" s="15"/>
      <c r="E24" s="15"/>
      <c r="F24" s="15"/>
      <c r="G24" s="15"/>
      <c r="H24" s="15"/>
      <c r="I24" s="15"/>
      <c r="J24" s="15"/>
    </row>
    <row r="25" spans="1:11" x14ac:dyDescent="0.25">
      <c r="A25" s="16" t="s">
        <v>54</v>
      </c>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B29" s="17"/>
      <c r="C29" s="17"/>
      <c r="D29" s="17"/>
      <c r="E29" s="13"/>
      <c r="F29" s="13"/>
      <c r="G29" s="13"/>
      <c r="H29" s="13"/>
      <c r="I29" s="13"/>
      <c r="J29" s="13"/>
    </row>
    <row r="30" spans="1:11" x14ac:dyDescent="0.25">
      <c r="A30" s="16" t="s">
        <v>55</v>
      </c>
      <c r="E30" s="13"/>
      <c r="F30" s="13"/>
      <c r="G30" s="13"/>
      <c r="H30" s="13"/>
      <c r="I30" s="13"/>
      <c r="J30" s="13"/>
    </row>
    <row r="31" spans="1:11" x14ac:dyDescent="0.25">
      <c r="B31" s="360"/>
      <c r="C31" s="361"/>
      <c r="D31" s="361"/>
      <c r="E31" s="362"/>
      <c r="F31" s="13"/>
      <c r="G31" s="13"/>
      <c r="H31" s="13"/>
      <c r="I31" s="13"/>
      <c r="J31" s="13"/>
    </row>
    <row r="32" spans="1:11" ht="17.25" x14ac:dyDescent="0.25">
      <c r="B32" s="3"/>
      <c r="C32" s="3"/>
      <c r="D32" s="3"/>
      <c r="E32" s="13"/>
      <c r="F32" s="13"/>
      <c r="G32" s="13"/>
      <c r="H32" s="13"/>
      <c r="I32" s="13"/>
      <c r="J32" s="13"/>
    </row>
    <row r="33" spans="1:19" x14ac:dyDescent="0.25">
      <c r="A33" s="7" t="s">
        <v>56</v>
      </c>
    </row>
    <row r="35" spans="1:19" ht="54.75" customHeight="1" x14ac:dyDescent="0.25">
      <c r="B35" s="363" t="s">
        <v>95</v>
      </c>
      <c r="C35" s="4" t="s">
        <v>96</v>
      </c>
      <c r="D35" s="4" t="s">
        <v>97</v>
      </c>
      <c r="E35" s="358" t="s">
        <v>98</v>
      </c>
      <c r="F35" s="358"/>
      <c r="G35" s="358"/>
      <c r="H35" s="358" t="s">
        <v>99</v>
      </c>
      <c r="I35" s="358"/>
      <c r="J35" s="358"/>
      <c r="K35" s="358" t="s">
        <v>100</v>
      </c>
      <c r="L35" s="358"/>
      <c r="M35" s="358"/>
      <c r="N35" s="358" t="s">
        <v>101</v>
      </c>
      <c r="O35" s="358"/>
      <c r="P35" s="358"/>
      <c r="Q35" s="359" t="s">
        <v>102</v>
      </c>
      <c r="R35" s="359"/>
      <c r="S35" s="359"/>
    </row>
    <row r="36" spans="1:19" x14ac:dyDescent="0.25">
      <c r="B36" s="363"/>
      <c r="C36" s="4" t="s">
        <v>35</v>
      </c>
      <c r="D36" s="4" t="s">
        <v>36</v>
      </c>
      <c r="E36" s="19" t="s">
        <v>0</v>
      </c>
      <c r="F36" s="19" t="s">
        <v>1</v>
      </c>
      <c r="G36" s="19" t="s">
        <v>3</v>
      </c>
      <c r="H36" s="19" t="s">
        <v>0</v>
      </c>
      <c r="I36" s="19" t="s">
        <v>1</v>
      </c>
      <c r="J36" s="19" t="s">
        <v>3</v>
      </c>
      <c r="K36" s="19" t="s">
        <v>39</v>
      </c>
      <c r="L36" s="19" t="s">
        <v>38</v>
      </c>
      <c r="M36" s="19" t="s">
        <v>37</v>
      </c>
      <c r="N36" s="19" t="s">
        <v>39</v>
      </c>
      <c r="O36" s="19" t="s">
        <v>38</v>
      </c>
      <c r="P36" s="19" t="s">
        <v>37</v>
      </c>
      <c r="Q36" s="26" t="s">
        <v>0</v>
      </c>
      <c r="R36" s="26" t="s">
        <v>1</v>
      </c>
      <c r="S36" s="26" t="s">
        <v>3</v>
      </c>
    </row>
    <row r="37" spans="1:19" ht="36" customHeight="1" x14ac:dyDescent="0.25">
      <c r="B37" s="22" t="s">
        <v>312</v>
      </c>
      <c r="C37" s="139">
        <v>2229421.6</v>
      </c>
      <c r="D37" s="139">
        <v>2443484.7000000002</v>
      </c>
      <c r="E37" s="23"/>
      <c r="F37" s="23"/>
      <c r="G37" s="23"/>
      <c r="H37" s="205">
        <v>265020.95500000002</v>
      </c>
      <c r="I37" s="205">
        <v>252841.74400000001</v>
      </c>
      <c r="J37" s="205">
        <v>100229.731</v>
      </c>
      <c r="K37" s="176">
        <f>C37+E37+H37</f>
        <v>2494442.5550000002</v>
      </c>
      <c r="L37" s="176">
        <f>C37+F37+I37</f>
        <v>2482263.344</v>
      </c>
      <c r="M37" s="176">
        <f>C37+G37+J37</f>
        <v>2329651.3310000002</v>
      </c>
      <c r="N37" s="23"/>
      <c r="O37" s="23"/>
      <c r="P37" s="23"/>
      <c r="Q37" s="177">
        <f>K37+N37</f>
        <v>2494442.5550000002</v>
      </c>
      <c r="R37" s="177">
        <f>L37+O37</f>
        <v>2482263.344</v>
      </c>
      <c r="S37" s="177">
        <f>M37+P37</f>
        <v>2329651.3310000002</v>
      </c>
    </row>
    <row r="38" spans="1:19" ht="28.5" x14ac:dyDescent="0.25">
      <c r="B38" s="18" t="s">
        <v>73</v>
      </c>
      <c r="C38" s="139">
        <v>2229421.6</v>
      </c>
      <c r="D38" s="139">
        <v>2443484.7000000002</v>
      </c>
      <c r="E38" s="19">
        <f t="shared" ref="E38:J38" si="0">SUM(E37:E37)</f>
        <v>0</v>
      </c>
      <c r="F38" s="19">
        <f t="shared" si="0"/>
        <v>0</v>
      </c>
      <c r="G38" s="19">
        <f t="shared" si="0"/>
        <v>0</v>
      </c>
      <c r="H38" s="176">
        <f t="shared" si="0"/>
        <v>265020.95500000002</v>
      </c>
      <c r="I38" s="176">
        <f t="shared" si="0"/>
        <v>252841.74400000001</v>
      </c>
      <c r="J38" s="176">
        <f t="shared" si="0"/>
        <v>100229.731</v>
      </c>
      <c r="K38" s="176">
        <f>C38+E38+H38</f>
        <v>2494442.5550000002</v>
      </c>
      <c r="L38" s="176">
        <f>C38+F38+I38</f>
        <v>2482263.344</v>
      </c>
      <c r="M38" s="176">
        <f>C38+G38+J38</f>
        <v>2329651.3310000002</v>
      </c>
      <c r="N38" s="4" t="s">
        <v>2</v>
      </c>
      <c r="O38" s="4" t="s">
        <v>2</v>
      </c>
      <c r="P38" s="4" t="s">
        <v>2</v>
      </c>
      <c r="Q38" s="26" t="s">
        <v>2</v>
      </c>
      <c r="R38" s="26" t="s">
        <v>2</v>
      </c>
      <c r="S38" s="26" t="s">
        <v>2</v>
      </c>
    </row>
    <row r="39" spans="1:19" ht="28.5" x14ac:dyDescent="0.25">
      <c r="B39" s="18" t="s">
        <v>60</v>
      </c>
      <c r="C39" s="22"/>
      <c r="D39" s="22"/>
      <c r="E39" s="19" t="s">
        <v>72</v>
      </c>
      <c r="F39" s="19" t="s">
        <v>72</v>
      </c>
      <c r="G39" s="19" t="s">
        <v>72</v>
      </c>
      <c r="H39" s="19" t="s">
        <v>72</v>
      </c>
      <c r="I39" s="19" t="s">
        <v>72</v>
      </c>
      <c r="J39" s="19" t="s">
        <v>72</v>
      </c>
      <c r="K39" s="19">
        <f>C39</f>
        <v>0</v>
      </c>
      <c r="L39" s="19">
        <f>C39</f>
        <v>0</v>
      </c>
      <c r="M39" s="19">
        <f>C39</f>
        <v>0</v>
      </c>
      <c r="N39" s="4" t="s">
        <v>2</v>
      </c>
      <c r="O39" s="4" t="s">
        <v>2</v>
      </c>
      <c r="P39" s="4" t="s">
        <v>2</v>
      </c>
      <c r="Q39" s="26" t="s">
        <v>2</v>
      </c>
      <c r="R39" s="26" t="s">
        <v>2</v>
      </c>
      <c r="S39" s="26" t="s">
        <v>2</v>
      </c>
    </row>
    <row r="40" spans="1:19" s="199" customFormat="1" x14ac:dyDescent="0.25">
      <c r="B40" s="246" t="s">
        <v>698</v>
      </c>
      <c r="C40" s="294">
        <f>SUM(C37:C37)</f>
        <v>2229421.6</v>
      </c>
      <c r="D40" s="259">
        <f>SUM(D37:D37)</f>
        <v>2443484.7000000002</v>
      </c>
      <c r="E40" s="255">
        <f>E38</f>
        <v>0</v>
      </c>
      <c r="F40" s="255">
        <f t="shared" ref="F40:J40" si="1">F38</f>
        <v>0</v>
      </c>
      <c r="G40" s="255">
        <f t="shared" si="1"/>
        <v>0</v>
      </c>
      <c r="H40" s="294">
        <f t="shared" si="1"/>
        <v>265020.95500000002</v>
      </c>
      <c r="I40" s="294">
        <f t="shared" si="1"/>
        <v>252841.74400000001</v>
      </c>
      <c r="J40" s="294">
        <f t="shared" si="1"/>
        <v>100229.731</v>
      </c>
      <c r="K40" s="296">
        <f>K38+K39</f>
        <v>2494442.5550000002</v>
      </c>
      <c r="L40" s="296">
        <f t="shared" ref="L40:M40" si="2">L38+L39</f>
        <v>2482263.344</v>
      </c>
      <c r="M40" s="296">
        <f t="shared" si="2"/>
        <v>2329651.3310000002</v>
      </c>
      <c r="N40" s="296">
        <f>SUM(N37:N37)</f>
        <v>0</v>
      </c>
      <c r="O40" s="296">
        <f>SUM(O37:O37)</f>
        <v>0</v>
      </c>
      <c r="P40" s="296">
        <f>SUM(P37:P37)</f>
        <v>0</v>
      </c>
      <c r="Q40" s="295">
        <f>K40+N40</f>
        <v>2494442.5550000002</v>
      </c>
      <c r="R40" s="295">
        <f>L40+O40</f>
        <v>2482263.344</v>
      </c>
      <c r="S40" s="295">
        <f>M40+P40</f>
        <v>2329651.3310000002</v>
      </c>
    </row>
    <row r="43" spans="1:19" x14ac:dyDescent="0.25">
      <c r="C43" s="180"/>
    </row>
    <row r="44" spans="1:19" x14ac:dyDescent="0.25">
      <c r="C44" s="180"/>
    </row>
  </sheetData>
  <mergeCells count="13">
    <mergeCell ref="N35:P35"/>
    <mergeCell ref="Q35:S35"/>
    <mergeCell ref="B19:B20"/>
    <mergeCell ref="C19:C20"/>
    <mergeCell ref="D19:D20"/>
    <mergeCell ref="E19:E20"/>
    <mergeCell ref="F19:J19"/>
    <mergeCell ref="K19:K20"/>
    <mergeCell ref="B31:E31"/>
    <mergeCell ref="B35:B36"/>
    <mergeCell ref="E35:G35"/>
    <mergeCell ref="H35:J35"/>
    <mergeCell ref="K35:M35"/>
  </mergeCells>
  <dataValidations count="4">
    <dataValidation type="custom" allowBlank="1" showInputMessage="1" showErrorMessage="1" sqref="N37:P37" xr:uid="{CFC3014A-385C-4E3C-AFF1-BB1FECF2154E}">
      <formula1>"-"</formula1>
    </dataValidation>
    <dataValidation type="list" allowBlank="1" showInputMessage="1" showErrorMessage="1" sqref="B13:B15" xr:uid="{11237E46-330F-4F8B-83DB-BA33A701C6BB}">
      <formula1>$U$2:$U$4</formula1>
    </dataValidation>
    <dataValidation type="list" allowBlank="1" showInputMessage="1" showErrorMessage="1" sqref="D21" xr:uid="{1F5348FD-638F-4751-B655-66F6D525100B}">
      <formula1>$V$2:$V$3</formula1>
    </dataValidation>
    <dataValidation showInputMessage="1" showErrorMessage="1" sqref="E21" xr:uid="{041E9A63-E99B-473F-B365-072C5B01ED4E}"/>
  </dataValidations>
  <hyperlinks>
    <hyperlink ref="C12" location="_ftn1" display="_ftn1" xr:uid="{5CA35569-A8C6-44FC-91C3-8278EFB8D125}"/>
    <hyperlink ref="D12" location="_ftn2" display="_ftn2" xr:uid="{CF3C34B8-A08E-4303-BCD0-D001E6CC558F}"/>
    <hyperlink ref="E12" location="_ftn3" display="_ftn3" xr:uid="{C1D19DE7-5447-4C6C-A449-58C8FB74DC35}"/>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6865" r:id="rId3" name="Check Box 1">
              <controlPr defaultSize="0" autoFill="0" autoLine="0" autoPict="0">
                <anchor moveWithCells="1">
                  <from>
                    <xdr:col>1</xdr:col>
                    <xdr:colOff>85725</xdr:colOff>
                    <xdr:row>25</xdr:row>
                    <xdr:rowOff>0</xdr:rowOff>
                  </from>
                  <to>
                    <xdr:col>2</xdr:col>
                    <xdr:colOff>1171575</xdr:colOff>
                    <xdr:row>26</xdr:row>
                    <xdr:rowOff>38100</xdr:rowOff>
                  </to>
                </anchor>
              </controlPr>
            </control>
          </mc:Choice>
        </mc:AlternateContent>
        <mc:AlternateContent xmlns:mc="http://schemas.openxmlformats.org/markup-compatibility/2006">
          <mc:Choice Requires="x14">
            <control shapeId="36866" r:id="rId4" name="Check Box 2">
              <controlPr defaultSize="0" autoFill="0" autoLine="0" autoPict="0">
                <anchor moveWithCells="1">
                  <from>
                    <xdr:col>1</xdr:col>
                    <xdr:colOff>85725</xdr:colOff>
                    <xdr:row>22</xdr:row>
                    <xdr:rowOff>171450</xdr:rowOff>
                  </from>
                  <to>
                    <xdr:col>2</xdr:col>
                    <xdr:colOff>1962150</xdr:colOff>
                    <xdr:row>24</xdr:row>
                    <xdr:rowOff>47625</xdr:rowOff>
                  </to>
                </anchor>
              </controlPr>
            </control>
          </mc:Choice>
        </mc:AlternateContent>
        <mc:AlternateContent xmlns:mc="http://schemas.openxmlformats.org/markup-compatibility/2006">
          <mc:Choice Requires="x14">
            <control shapeId="36867" r:id="rId5" name="Check Box 3">
              <controlPr defaultSize="0" autoFill="0" autoLine="0" autoPict="0">
                <anchor moveWithCells="1">
                  <from>
                    <xdr:col>1</xdr:col>
                    <xdr:colOff>85725</xdr:colOff>
                    <xdr:row>24</xdr:row>
                    <xdr:rowOff>28575</xdr:rowOff>
                  </from>
                  <to>
                    <xdr:col>2</xdr:col>
                    <xdr:colOff>1962150</xdr:colOff>
                    <xdr:row>25</xdr:row>
                    <xdr:rowOff>9525</xdr:rowOff>
                  </to>
                </anchor>
              </controlPr>
            </control>
          </mc:Choice>
        </mc:AlternateContent>
        <mc:AlternateContent xmlns:mc="http://schemas.openxmlformats.org/markup-compatibility/2006">
          <mc:Choice Requires="x14">
            <control shapeId="36868" r:id="rId6" name="Check Box 4">
              <controlPr defaultSize="0" autoFill="0" autoLine="0" autoPict="0">
                <anchor moveWithCells="1">
                  <from>
                    <xdr:col>1</xdr:col>
                    <xdr:colOff>95250</xdr:colOff>
                    <xdr:row>26</xdr:row>
                    <xdr:rowOff>9525</xdr:rowOff>
                  </from>
                  <to>
                    <xdr:col>2</xdr:col>
                    <xdr:colOff>571500</xdr:colOff>
                    <xdr:row>27</xdr:row>
                    <xdr:rowOff>9525</xdr:rowOff>
                  </to>
                </anchor>
              </controlPr>
            </control>
          </mc:Choice>
        </mc:AlternateContent>
        <mc:AlternateContent xmlns:mc="http://schemas.openxmlformats.org/markup-compatibility/2006">
          <mc:Choice Requires="x14">
            <control shapeId="36869" r:id="rId7" name="Check Box 5">
              <controlPr defaultSize="0" autoFill="0" autoLine="0" autoPict="0">
                <anchor moveWithCells="1">
                  <from>
                    <xdr:col>1</xdr:col>
                    <xdr:colOff>85725</xdr:colOff>
                    <xdr:row>27</xdr:row>
                    <xdr:rowOff>0</xdr:rowOff>
                  </from>
                  <to>
                    <xdr:col>2</xdr:col>
                    <xdr:colOff>1171575</xdr:colOff>
                    <xdr:row>28</xdr:row>
                    <xdr:rowOff>28575</xdr:rowOff>
                  </to>
                </anchor>
              </controlPr>
            </control>
          </mc:Choice>
        </mc:AlternateContent>
        <mc:AlternateContent xmlns:mc="http://schemas.openxmlformats.org/markup-compatibility/2006">
          <mc:Choice Requires="x14">
            <control shapeId="36870" r:id="rId8" name="Check Box 6">
              <controlPr defaultSize="0" autoFill="0" autoLine="0" autoPict="0">
                <anchor moveWithCells="1">
                  <from>
                    <xdr:col>1</xdr:col>
                    <xdr:colOff>85725</xdr:colOff>
                    <xdr:row>24</xdr:row>
                    <xdr:rowOff>171450</xdr:rowOff>
                  </from>
                  <to>
                    <xdr:col>2</xdr:col>
                    <xdr:colOff>1924050</xdr:colOff>
                    <xdr:row>26</xdr:row>
                    <xdr:rowOff>28575</xdr:rowOff>
                  </to>
                </anchor>
              </controlPr>
            </control>
          </mc:Choice>
        </mc:AlternateContent>
        <mc:AlternateContent xmlns:mc="http://schemas.openxmlformats.org/markup-compatibility/2006">
          <mc:Choice Requires="x14">
            <control shapeId="36871" r:id="rId9" name="Check Box 7">
              <controlPr defaultSize="0" autoFill="0" autoLine="0" autoPict="0">
                <anchor moveWithCells="1">
                  <from>
                    <xdr:col>1</xdr:col>
                    <xdr:colOff>85725</xdr:colOff>
                    <xdr:row>26</xdr:row>
                    <xdr:rowOff>28575</xdr:rowOff>
                  </from>
                  <to>
                    <xdr:col>2</xdr:col>
                    <xdr:colOff>1924050</xdr:colOff>
                    <xdr:row>27</xdr:row>
                    <xdr:rowOff>0</xdr:rowOff>
                  </to>
                </anchor>
              </controlPr>
            </control>
          </mc:Choice>
        </mc:AlternateContent>
        <mc:AlternateContent xmlns:mc="http://schemas.openxmlformats.org/markup-compatibility/2006">
          <mc:Choice Requires="x14">
            <control shapeId="36872" r:id="rId10" name="Check Box 8">
              <controlPr defaultSize="0" autoFill="0" autoLine="0" autoPict="0">
                <anchor moveWithCells="1">
                  <from>
                    <xdr:col>1</xdr:col>
                    <xdr:colOff>95250</xdr:colOff>
                    <xdr:row>28</xdr:row>
                    <xdr:rowOff>9525</xdr:rowOff>
                  </from>
                  <to>
                    <xdr:col>2</xdr:col>
                    <xdr:colOff>571500</xdr:colOff>
                    <xdr:row>29</xdr:row>
                    <xdr:rowOff>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B53F3-6A16-4C85-9691-4B531B1A95C8}">
  <dimension ref="A1:W44"/>
  <sheetViews>
    <sheetView topLeftCell="A25" workbookViewId="0">
      <selection activeCell="S39" sqref="C39:S39"/>
    </sheetView>
  </sheetViews>
  <sheetFormatPr defaultRowHeight="15" x14ac:dyDescent="0.25"/>
  <cols>
    <col min="1" max="1" width="6" customWidth="1"/>
    <col min="2" max="2" width="33.140625" customWidth="1"/>
    <col min="3" max="3" width="39.85546875" customWidth="1"/>
    <col min="4" max="4" width="31.5703125" customWidth="1"/>
    <col min="5" max="5" width="40.28515625" customWidth="1"/>
    <col min="6" max="6" width="28.42578125" customWidth="1"/>
    <col min="7" max="7" width="22.28515625" customWidth="1"/>
    <col min="8" max="9" width="12.140625" customWidth="1"/>
    <col min="10" max="10" width="16.42578125" customWidth="1"/>
    <col min="11" max="11" width="32.85546875" customWidth="1"/>
    <col min="12" max="12" width="11.7109375" customWidth="1"/>
    <col min="13" max="13" width="14.7109375" customWidth="1"/>
    <col min="14" max="14" width="9.5703125" customWidth="1"/>
    <col min="15" max="15" width="8.140625" customWidth="1"/>
    <col min="16" max="16" width="8" customWidth="1"/>
    <col min="17" max="17" width="11" bestFit="1" customWidth="1"/>
    <col min="18" max="18" width="12.42578125" customWidth="1"/>
    <col min="19" max="19" width="12"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1187</v>
      </c>
      <c r="E5" s="25" t="s">
        <v>83</v>
      </c>
      <c r="F5" s="20" t="s">
        <v>599</v>
      </c>
      <c r="H5" s="3"/>
      <c r="I5" s="3"/>
      <c r="J5" s="3"/>
    </row>
    <row r="6" spans="1:23" ht="39.75" customHeight="1" x14ac:dyDescent="0.25">
      <c r="B6" s="25" t="s">
        <v>80</v>
      </c>
      <c r="C6" s="29" t="s">
        <v>600</v>
      </c>
      <c r="E6" s="25" t="s">
        <v>84</v>
      </c>
      <c r="F6" s="20"/>
      <c r="H6" s="3"/>
      <c r="I6" s="3"/>
      <c r="J6" s="3"/>
    </row>
    <row r="7" spans="1:23" ht="18" customHeight="1" x14ac:dyDescent="0.25">
      <c r="B7" s="25" t="s">
        <v>81</v>
      </c>
      <c r="C7" s="20">
        <v>12003</v>
      </c>
      <c r="H7" s="3"/>
      <c r="I7" s="3"/>
      <c r="J7" s="3"/>
    </row>
    <row r="8" spans="1:23" ht="55.5" customHeight="1" x14ac:dyDescent="0.25">
      <c r="B8" s="25" t="s">
        <v>82</v>
      </c>
      <c r="C8" s="29" t="s">
        <v>601</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408.75" customHeight="1" x14ac:dyDescent="0.3">
      <c r="B13" s="21" t="s">
        <v>46</v>
      </c>
      <c r="C13" s="133" t="s">
        <v>602</v>
      </c>
      <c r="D13" s="21"/>
      <c r="E13" s="132" t="s">
        <v>603</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15" customHeight="1" x14ac:dyDescent="0.25">
      <c r="B17" s="365" t="s">
        <v>89</v>
      </c>
      <c r="C17" s="365" t="s">
        <v>90</v>
      </c>
      <c r="D17" s="365" t="s">
        <v>91</v>
      </c>
      <c r="E17" s="365" t="s">
        <v>92</v>
      </c>
      <c r="F17" s="364" t="s">
        <v>93</v>
      </c>
      <c r="G17" s="364"/>
      <c r="H17" s="364"/>
      <c r="I17" s="364"/>
      <c r="J17" s="364"/>
      <c r="K17" s="364" t="s">
        <v>94</v>
      </c>
    </row>
    <row r="18" spans="1:11" x14ac:dyDescent="0.25">
      <c r="B18" s="365"/>
      <c r="C18" s="365"/>
      <c r="D18" s="365"/>
      <c r="E18" s="365"/>
      <c r="F18" s="27" t="s">
        <v>51</v>
      </c>
      <c r="G18" s="27" t="s">
        <v>52</v>
      </c>
      <c r="H18" s="27" t="s">
        <v>0</v>
      </c>
      <c r="I18" s="27" t="s">
        <v>1</v>
      </c>
      <c r="J18" s="27" t="s">
        <v>3</v>
      </c>
      <c r="K18" s="364"/>
    </row>
    <row r="19" spans="1:11" s="174" customFormat="1" ht="150" customHeight="1" x14ac:dyDescent="0.25">
      <c r="B19" s="22" t="s">
        <v>331</v>
      </c>
      <c r="C19" s="30" t="s">
        <v>318</v>
      </c>
      <c r="D19" s="30" t="s">
        <v>47</v>
      </c>
      <c r="E19" s="22" t="s">
        <v>604</v>
      </c>
      <c r="F19" s="30">
        <v>406</v>
      </c>
      <c r="G19" s="30">
        <v>200</v>
      </c>
      <c r="H19" s="30">
        <v>250</v>
      </c>
      <c r="I19" s="30">
        <v>250</v>
      </c>
      <c r="J19" s="30">
        <v>250</v>
      </c>
      <c r="K19" s="22" t="s">
        <v>605</v>
      </c>
    </row>
    <row r="20" spans="1:11" s="174" customFormat="1" ht="54" x14ac:dyDescent="0.25">
      <c r="B20" s="22" t="s">
        <v>334</v>
      </c>
      <c r="C20" s="30" t="s">
        <v>318</v>
      </c>
      <c r="D20" s="30" t="s">
        <v>47</v>
      </c>
      <c r="E20" s="22" t="s">
        <v>606</v>
      </c>
      <c r="F20" s="30">
        <v>1108</v>
      </c>
      <c r="G20" s="30">
        <v>1320</v>
      </c>
      <c r="H20" s="30">
        <v>1546</v>
      </c>
      <c r="I20" s="30">
        <v>1796</v>
      </c>
      <c r="J20" s="30">
        <v>1881</v>
      </c>
      <c r="K20" s="22" t="s">
        <v>607</v>
      </c>
    </row>
    <row r="21" spans="1:11" ht="17.25" x14ac:dyDescent="0.25">
      <c r="B21" s="3"/>
      <c r="C21" s="3"/>
      <c r="D21" s="3"/>
      <c r="E21" s="3"/>
      <c r="F21" s="3"/>
      <c r="G21" s="3"/>
      <c r="H21" s="3"/>
      <c r="I21" s="3"/>
      <c r="J21" s="3"/>
    </row>
    <row r="22" spans="1:11" ht="15.75" x14ac:dyDescent="0.25">
      <c r="A22" s="12" t="s">
        <v>53</v>
      </c>
      <c r="C22" s="13"/>
      <c r="D22" s="13"/>
      <c r="E22" s="13"/>
      <c r="F22" s="13"/>
      <c r="G22" s="67"/>
      <c r="H22" s="13"/>
      <c r="I22" s="13"/>
      <c r="J22" s="13"/>
    </row>
    <row r="23" spans="1:11" x14ac:dyDescent="0.25">
      <c r="A23" s="14"/>
      <c r="C23" s="15"/>
      <c r="D23" s="15"/>
      <c r="E23" s="15"/>
      <c r="F23" s="15"/>
      <c r="G23" s="219"/>
      <c r="H23" s="15"/>
      <c r="I23" s="15"/>
      <c r="J23" s="15"/>
    </row>
    <row r="24" spans="1:11" x14ac:dyDescent="0.25">
      <c r="A24" s="16" t="s">
        <v>54</v>
      </c>
      <c r="C24" s="17"/>
      <c r="D24" s="17"/>
      <c r="E24" s="13"/>
      <c r="F24" s="13"/>
      <c r="G24" s="67"/>
      <c r="H24" s="13"/>
      <c r="I24" s="13"/>
      <c r="J24" s="13"/>
    </row>
    <row r="25" spans="1:11" x14ac:dyDescent="0.25">
      <c r="B25" s="17"/>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A29" s="16" t="s">
        <v>55</v>
      </c>
      <c r="E29" s="13"/>
      <c r="F29" s="13"/>
      <c r="G29" s="13"/>
      <c r="H29" s="13"/>
      <c r="I29" s="13"/>
      <c r="J29" s="13"/>
    </row>
    <row r="30" spans="1:11" x14ac:dyDescent="0.25">
      <c r="B30" s="360"/>
      <c r="C30" s="361"/>
      <c r="D30" s="361"/>
      <c r="E30" s="362"/>
      <c r="F30" s="13"/>
      <c r="G30" s="13"/>
      <c r="H30" s="13"/>
      <c r="I30" s="13"/>
      <c r="J30" s="13"/>
    </row>
    <row r="31" spans="1:11" ht="17.25" x14ac:dyDescent="0.25">
      <c r="B31" s="3"/>
      <c r="C31" s="3"/>
      <c r="D31" s="3"/>
      <c r="E31" s="13"/>
      <c r="F31" s="13"/>
      <c r="G31" s="13"/>
      <c r="H31" s="13"/>
      <c r="I31" s="13"/>
      <c r="J31" s="13"/>
    </row>
    <row r="32" spans="1:11" x14ac:dyDescent="0.25">
      <c r="A32" s="7" t="s">
        <v>56</v>
      </c>
    </row>
    <row r="34" spans="2:19" ht="43.5" customHeight="1" x14ac:dyDescent="0.25">
      <c r="B34" s="363" t="s">
        <v>95</v>
      </c>
      <c r="C34" s="4" t="s">
        <v>96</v>
      </c>
      <c r="D34" s="4" t="s">
        <v>97</v>
      </c>
      <c r="E34" s="358" t="s">
        <v>98</v>
      </c>
      <c r="F34" s="358"/>
      <c r="G34" s="358"/>
      <c r="H34" s="358" t="s">
        <v>99</v>
      </c>
      <c r="I34" s="358"/>
      <c r="J34" s="358"/>
      <c r="K34" s="358" t="s">
        <v>100</v>
      </c>
      <c r="L34" s="358"/>
      <c r="M34" s="358"/>
      <c r="N34" s="358" t="s">
        <v>101</v>
      </c>
      <c r="O34" s="358"/>
      <c r="P34" s="358"/>
      <c r="Q34" s="359" t="s">
        <v>102</v>
      </c>
      <c r="R34" s="359"/>
      <c r="S34" s="359"/>
    </row>
    <row r="35" spans="2:19" ht="30" customHeight="1" x14ac:dyDescent="0.25">
      <c r="B35" s="363"/>
      <c r="C35" s="4" t="s">
        <v>35</v>
      </c>
      <c r="D35" s="4" t="s">
        <v>36</v>
      </c>
      <c r="E35" s="19" t="s">
        <v>0</v>
      </c>
      <c r="F35" s="19" t="s">
        <v>1</v>
      </c>
      <c r="G35" s="19" t="s">
        <v>3</v>
      </c>
      <c r="H35" s="19" t="s">
        <v>0</v>
      </c>
      <c r="I35" s="19" t="s">
        <v>1</v>
      </c>
      <c r="J35" s="19" t="s">
        <v>3</v>
      </c>
      <c r="K35" s="19" t="s">
        <v>39</v>
      </c>
      <c r="L35" s="19" t="s">
        <v>38</v>
      </c>
      <c r="M35" s="19" t="s">
        <v>37</v>
      </c>
      <c r="N35" s="19" t="s">
        <v>39</v>
      </c>
      <c r="O35" s="19" t="s">
        <v>38</v>
      </c>
      <c r="P35" s="19" t="s">
        <v>37</v>
      </c>
      <c r="Q35" s="26" t="s">
        <v>0</v>
      </c>
      <c r="R35" s="26" t="s">
        <v>1</v>
      </c>
      <c r="S35" s="26" t="s">
        <v>3</v>
      </c>
    </row>
    <row r="36" spans="2:19" ht="40.5" x14ac:dyDescent="0.25">
      <c r="B36" s="22" t="s">
        <v>338</v>
      </c>
      <c r="C36" s="51">
        <v>707829.7</v>
      </c>
      <c r="D36" s="51">
        <v>633548.1</v>
      </c>
      <c r="E36" s="23">
        <v>0</v>
      </c>
      <c r="F36" s="23">
        <v>0</v>
      </c>
      <c r="G36" s="23">
        <v>0</v>
      </c>
      <c r="H36" s="93">
        <v>136280.1</v>
      </c>
      <c r="I36" s="93">
        <v>89605</v>
      </c>
      <c r="J36" s="93">
        <v>12929</v>
      </c>
      <c r="K36" s="52">
        <f>C36+E36+H36</f>
        <v>844109.79999999993</v>
      </c>
      <c r="L36" s="52">
        <f>C36+F36+I36</f>
        <v>797434.7</v>
      </c>
      <c r="M36" s="52">
        <f>C36+G36+J36</f>
        <v>720758.7</v>
      </c>
      <c r="N36" s="93"/>
      <c r="O36" s="23"/>
      <c r="P36" s="23"/>
      <c r="Q36" s="26">
        <f>K36+N36</f>
        <v>844109.79999999993</v>
      </c>
      <c r="R36" s="26">
        <f>L36+O36</f>
        <v>797434.7</v>
      </c>
      <c r="S36" s="26">
        <f>M36+P36</f>
        <v>720758.7</v>
      </c>
    </row>
    <row r="37" spans="2:19" ht="28.5" x14ac:dyDescent="0.25">
      <c r="B37" s="18" t="s">
        <v>73</v>
      </c>
      <c r="C37" s="94">
        <f>C36</f>
        <v>707829.7</v>
      </c>
      <c r="D37" s="94">
        <f>D36</f>
        <v>633548.1</v>
      </c>
      <c r="E37" s="19">
        <f t="shared" ref="E37:J37" si="0">SUM(E36:E36)</f>
        <v>0</v>
      </c>
      <c r="F37" s="19">
        <f t="shared" si="0"/>
        <v>0</v>
      </c>
      <c r="G37" s="19">
        <f t="shared" si="0"/>
        <v>0</v>
      </c>
      <c r="H37" s="52">
        <f t="shared" si="0"/>
        <v>136280.1</v>
      </c>
      <c r="I37" s="52">
        <f t="shared" si="0"/>
        <v>89605</v>
      </c>
      <c r="J37" s="52">
        <f t="shared" si="0"/>
        <v>12929</v>
      </c>
      <c r="K37" s="52">
        <f>C37+E37+H37</f>
        <v>844109.79999999993</v>
      </c>
      <c r="L37" s="52">
        <f>C37+F37+I37</f>
        <v>797434.7</v>
      </c>
      <c r="M37" s="52">
        <f>C37+G37+J37</f>
        <v>720758.7</v>
      </c>
      <c r="N37" s="82" t="s">
        <v>2</v>
      </c>
      <c r="O37" s="4" t="s">
        <v>2</v>
      </c>
      <c r="P37" s="4" t="s">
        <v>2</v>
      </c>
      <c r="Q37" s="26" t="s">
        <v>2</v>
      </c>
      <c r="R37" s="26" t="s">
        <v>2</v>
      </c>
      <c r="S37" s="26" t="s">
        <v>2</v>
      </c>
    </row>
    <row r="38" spans="2:19" ht="28.5" x14ac:dyDescent="0.25">
      <c r="B38" s="18" t="s">
        <v>60</v>
      </c>
      <c r="C38" s="22"/>
      <c r="D38" s="22"/>
      <c r="E38" s="19" t="s">
        <v>72</v>
      </c>
      <c r="F38" s="19" t="s">
        <v>72</v>
      </c>
      <c r="G38" s="19" t="s">
        <v>72</v>
      </c>
      <c r="H38" s="52" t="s">
        <v>72</v>
      </c>
      <c r="I38" s="52" t="s">
        <v>72</v>
      </c>
      <c r="J38" s="52" t="s">
        <v>72</v>
      </c>
      <c r="K38" s="52">
        <f>C38</f>
        <v>0</v>
      </c>
      <c r="L38" s="52">
        <f>C38</f>
        <v>0</v>
      </c>
      <c r="M38" s="52">
        <f>C38</f>
        <v>0</v>
      </c>
      <c r="N38" s="82" t="s">
        <v>2</v>
      </c>
      <c r="O38" s="4" t="s">
        <v>2</v>
      </c>
      <c r="P38" s="4" t="s">
        <v>2</v>
      </c>
      <c r="Q38" s="26" t="s">
        <v>2</v>
      </c>
      <c r="R38" s="26" t="s">
        <v>2</v>
      </c>
      <c r="S38" s="26" t="s">
        <v>2</v>
      </c>
    </row>
    <row r="39" spans="2:19" s="293" customFormat="1" x14ac:dyDescent="0.25">
      <c r="B39" s="272" t="s">
        <v>698</v>
      </c>
      <c r="C39" s="259">
        <f>SUM(C36:C36)</f>
        <v>707829.7</v>
      </c>
      <c r="D39" s="259">
        <f>SUM(D36:D36)</f>
        <v>633548.1</v>
      </c>
      <c r="E39" s="259">
        <f>E37</f>
        <v>0</v>
      </c>
      <c r="F39" s="259">
        <f t="shared" ref="F39:J39" si="1">F37</f>
        <v>0</v>
      </c>
      <c r="G39" s="259">
        <f t="shared" si="1"/>
        <v>0</v>
      </c>
      <c r="H39" s="259">
        <f t="shared" si="1"/>
        <v>136280.1</v>
      </c>
      <c r="I39" s="259">
        <f t="shared" si="1"/>
        <v>89605</v>
      </c>
      <c r="J39" s="259">
        <f t="shared" si="1"/>
        <v>12929</v>
      </c>
      <c r="K39" s="260">
        <f>K37+K38</f>
        <v>844109.79999999993</v>
      </c>
      <c r="L39" s="260">
        <f t="shared" ref="L39:M39" si="2">L37+L38</f>
        <v>797434.7</v>
      </c>
      <c r="M39" s="260">
        <f t="shared" si="2"/>
        <v>720758.7</v>
      </c>
      <c r="N39" s="260">
        <f>SUM(N36:N36)</f>
        <v>0</v>
      </c>
      <c r="O39" s="260">
        <f>SUM(O36:O36)</f>
        <v>0</v>
      </c>
      <c r="P39" s="260">
        <f>SUM(P36:P36)</f>
        <v>0</v>
      </c>
      <c r="Q39" s="263">
        <f>K39+N39</f>
        <v>844109.79999999993</v>
      </c>
      <c r="R39" s="263">
        <f>L39+O39</f>
        <v>797434.7</v>
      </c>
      <c r="S39" s="263">
        <f>M39+P39</f>
        <v>720758.7</v>
      </c>
    </row>
    <row r="41" spans="2:19" x14ac:dyDescent="0.25">
      <c r="D41" s="84"/>
    </row>
    <row r="42" spans="2:19" x14ac:dyDescent="0.25">
      <c r="E42" s="84"/>
    </row>
    <row r="43" spans="2:19" x14ac:dyDescent="0.25">
      <c r="C43" s="84"/>
    </row>
    <row r="44" spans="2:19" x14ac:dyDescent="0.25">
      <c r="C44" s="84"/>
    </row>
  </sheetData>
  <mergeCells count="13">
    <mergeCell ref="K17:K18"/>
    <mergeCell ref="B17:B18"/>
    <mergeCell ref="C17:C18"/>
    <mergeCell ref="D17:D18"/>
    <mergeCell ref="E17:E18"/>
    <mergeCell ref="F17:J17"/>
    <mergeCell ref="Q34:S34"/>
    <mergeCell ref="B30:E30"/>
    <mergeCell ref="B34:B35"/>
    <mergeCell ref="E34:G34"/>
    <mergeCell ref="H34:J34"/>
    <mergeCell ref="K34:M34"/>
    <mergeCell ref="N34:P34"/>
  </mergeCells>
  <dataValidations count="4">
    <dataValidation type="custom" allowBlank="1" showInputMessage="1" showErrorMessage="1" sqref="N36:P36" xr:uid="{E2A52F0F-2890-40DF-B601-E000FEBE25B8}">
      <formula1>"-"</formula1>
    </dataValidation>
    <dataValidation type="list" allowBlank="1" showInputMessage="1" showErrorMessage="1" sqref="B13" xr:uid="{396C0E37-A5CE-4996-AEF9-9CEEA38F47A2}">
      <formula1>$U$2:$U$4</formula1>
    </dataValidation>
    <dataValidation type="list" allowBlank="1" showInputMessage="1" showErrorMessage="1" sqref="D19:D20" xr:uid="{C3F12A46-3973-4EDC-92FD-37A18A460D9D}">
      <formula1>$V$2:$V$3</formula1>
    </dataValidation>
    <dataValidation showInputMessage="1" showErrorMessage="1" sqref="E19:E20" xr:uid="{17CD9624-30A6-444F-8F93-09F6DD302EA5}"/>
  </dataValidations>
  <hyperlinks>
    <hyperlink ref="C12" location="_ftn1" display="_ftn1" xr:uid="{E5C7AFF6-B84A-45B9-9B81-12409CFE7D72}"/>
    <hyperlink ref="D12" location="_ftn2" display="_ftn2" xr:uid="{1968D0B8-1CB4-4F5C-873B-8B02E2A3C491}"/>
    <hyperlink ref="E12" location="_ftn3" display="_ftn3" xr:uid="{0C9F109D-9259-40AE-B362-8E4F100F730B}"/>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67585" r:id="rId3" name="Check Box 1">
              <controlPr defaultSize="0" autoFill="0" autoLine="0" autoPict="0">
                <anchor moveWithCells="1">
                  <from>
                    <xdr:col>1</xdr:col>
                    <xdr:colOff>85725</xdr:colOff>
                    <xdr:row>26</xdr:row>
                    <xdr:rowOff>0</xdr:rowOff>
                  </from>
                  <to>
                    <xdr:col>2</xdr:col>
                    <xdr:colOff>1171575</xdr:colOff>
                    <xdr:row>27</xdr:row>
                    <xdr:rowOff>38100</xdr:rowOff>
                  </to>
                </anchor>
              </controlPr>
            </control>
          </mc:Choice>
        </mc:AlternateContent>
        <mc:AlternateContent xmlns:mc="http://schemas.openxmlformats.org/markup-compatibility/2006">
          <mc:Choice Requires="x14">
            <control shapeId="67586" r:id="rId4" name="Check Box 2">
              <controlPr defaultSize="0" autoFill="0" autoLine="0" autoPict="0">
                <anchor moveWithCells="1">
                  <from>
                    <xdr:col>1</xdr:col>
                    <xdr:colOff>85725</xdr:colOff>
                    <xdr:row>23</xdr:row>
                    <xdr:rowOff>171450</xdr:rowOff>
                  </from>
                  <to>
                    <xdr:col>2</xdr:col>
                    <xdr:colOff>1924050</xdr:colOff>
                    <xdr:row>25</xdr:row>
                    <xdr:rowOff>47625</xdr:rowOff>
                  </to>
                </anchor>
              </controlPr>
            </control>
          </mc:Choice>
        </mc:AlternateContent>
        <mc:AlternateContent xmlns:mc="http://schemas.openxmlformats.org/markup-compatibility/2006">
          <mc:Choice Requires="x14">
            <control shapeId="67587" r:id="rId5" name="Check Box 3">
              <controlPr defaultSize="0" autoFill="0" autoLine="0" autoPict="0">
                <anchor moveWithCells="1">
                  <from>
                    <xdr:col>1</xdr:col>
                    <xdr:colOff>85725</xdr:colOff>
                    <xdr:row>25</xdr:row>
                    <xdr:rowOff>28575</xdr:rowOff>
                  </from>
                  <to>
                    <xdr:col>2</xdr:col>
                    <xdr:colOff>1924050</xdr:colOff>
                    <xdr:row>26</xdr:row>
                    <xdr:rowOff>9525</xdr:rowOff>
                  </to>
                </anchor>
              </controlPr>
            </control>
          </mc:Choice>
        </mc:AlternateContent>
        <mc:AlternateContent xmlns:mc="http://schemas.openxmlformats.org/markup-compatibility/2006">
          <mc:Choice Requires="x14">
            <control shapeId="67588" r:id="rId6" name="Check Box 4">
              <controlPr defaultSize="0" autoFill="0" autoLine="0" autoPict="0">
                <anchor moveWithCells="1">
                  <from>
                    <xdr:col>1</xdr:col>
                    <xdr:colOff>95250</xdr:colOff>
                    <xdr:row>27</xdr:row>
                    <xdr:rowOff>9525</xdr:rowOff>
                  </from>
                  <to>
                    <xdr:col>2</xdr:col>
                    <xdr:colOff>571500</xdr:colOff>
                    <xdr:row>28</xdr:row>
                    <xdr:rowOff>9525</xdr:rowOff>
                  </to>
                </anchor>
              </controlPr>
            </control>
          </mc:Choice>
        </mc:AlternateContent>
      </controls>
    </mc:Choice>
  </mc:AlternateContent>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B8726-B16F-4749-B8A9-ADCD0D479AD7}">
  <dimension ref="A1:W44"/>
  <sheetViews>
    <sheetView topLeftCell="E25" workbookViewId="0">
      <selection activeCell="C39" sqref="C39:S39"/>
    </sheetView>
  </sheetViews>
  <sheetFormatPr defaultRowHeight="15" x14ac:dyDescent="0.25"/>
  <cols>
    <col min="1" max="1" width="6" customWidth="1"/>
    <col min="2" max="2" width="33.140625" customWidth="1"/>
    <col min="3" max="3" width="24.85546875" customWidth="1"/>
    <col min="4" max="4" width="31.5703125" customWidth="1"/>
    <col min="5" max="5" width="40.28515625" customWidth="1"/>
    <col min="6" max="6" width="28.42578125" customWidth="1"/>
    <col min="7" max="7" width="22.28515625" customWidth="1"/>
    <col min="8" max="9" width="10.42578125" customWidth="1"/>
    <col min="10" max="10" width="16.42578125" customWidth="1"/>
    <col min="11" max="11" width="18.42578125" bestFit="1" customWidth="1"/>
    <col min="12" max="12" width="16.85546875" customWidth="1"/>
    <col min="13" max="13" width="13" customWidth="1"/>
    <col min="14" max="14" width="9.5703125" customWidth="1"/>
    <col min="15" max="15" width="8.140625" customWidth="1"/>
    <col min="16" max="16" width="8" customWidth="1"/>
    <col min="17" max="18" width="11.140625" bestFit="1" customWidth="1"/>
    <col min="19" max="19" width="11.5703125"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1187</v>
      </c>
      <c r="E5" s="25" t="s">
        <v>83</v>
      </c>
      <c r="F5" s="20">
        <v>2018</v>
      </c>
      <c r="H5" s="3"/>
      <c r="I5" s="3"/>
      <c r="J5" s="3"/>
    </row>
    <row r="6" spans="1:23" ht="28.5" x14ac:dyDescent="0.25">
      <c r="B6" s="25" t="s">
        <v>80</v>
      </c>
      <c r="C6" s="29" t="s">
        <v>326</v>
      </c>
      <c r="E6" s="25" t="s">
        <v>84</v>
      </c>
      <c r="F6" s="20"/>
      <c r="H6" s="3"/>
      <c r="I6" s="3"/>
      <c r="J6" s="3"/>
    </row>
    <row r="7" spans="1:23" ht="18" customHeight="1" x14ac:dyDescent="0.25">
      <c r="B7" s="25" t="s">
        <v>81</v>
      </c>
      <c r="C7" s="20">
        <v>12004</v>
      </c>
      <c r="H7" s="3"/>
      <c r="I7" s="3"/>
      <c r="J7" s="3"/>
    </row>
    <row r="8" spans="1:23" ht="67.5" x14ac:dyDescent="0.25">
      <c r="B8" s="25" t="s">
        <v>82</v>
      </c>
      <c r="C8" s="29" t="s">
        <v>327</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409.5" x14ac:dyDescent="0.3">
      <c r="B13" s="131" t="s">
        <v>46</v>
      </c>
      <c r="C13" s="132" t="s">
        <v>328</v>
      </c>
      <c r="D13" s="132" t="s">
        <v>329</v>
      </c>
      <c r="E13" s="132" t="s">
        <v>330</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2" ht="15" customHeight="1" x14ac:dyDescent="0.25">
      <c r="B17" s="365" t="s">
        <v>89</v>
      </c>
      <c r="C17" s="365" t="s">
        <v>90</v>
      </c>
      <c r="D17" s="365" t="s">
        <v>91</v>
      </c>
      <c r="E17" s="365" t="s">
        <v>92</v>
      </c>
      <c r="F17" s="364" t="s">
        <v>93</v>
      </c>
      <c r="G17" s="364"/>
      <c r="H17" s="364"/>
      <c r="I17" s="364"/>
      <c r="J17" s="364"/>
      <c r="K17" s="364" t="s">
        <v>94</v>
      </c>
    </row>
    <row r="18" spans="1:12" x14ac:dyDescent="0.25">
      <c r="B18" s="365"/>
      <c r="C18" s="365"/>
      <c r="D18" s="365"/>
      <c r="E18" s="365"/>
      <c r="F18" s="27" t="s">
        <v>51</v>
      </c>
      <c r="G18" s="27" t="s">
        <v>52</v>
      </c>
      <c r="H18" s="27" t="s">
        <v>0</v>
      </c>
      <c r="I18" s="27" t="s">
        <v>1</v>
      </c>
      <c r="J18" s="27" t="s">
        <v>3</v>
      </c>
      <c r="K18" s="364"/>
    </row>
    <row r="19" spans="1:12" ht="131.25" customHeight="1" x14ac:dyDescent="0.25">
      <c r="B19" s="133" t="s">
        <v>331</v>
      </c>
      <c r="C19" s="21" t="s">
        <v>318</v>
      </c>
      <c r="D19" s="21" t="s">
        <v>47</v>
      </c>
      <c r="E19" s="32" t="s">
        <v>332</v>
      </c>
      <c r="F19" s="304">
        <v>185</v>
      </c>
      <c r="G19" s="304">
        <v>40</v>
      </c>
      <c r="H19" s="304">
        <v>40</v>
      </c>
      <c r="I19" s="304">
        <v>40</v>
      </c>
      <c r="J19" s="304">
        <v>40</v>
      </c>
      <c r="K19" s="390" t="s">
        <v>333</v>
      </c>
    </row>
    <row r="20" spans="1:12" ht="131.25" customHeight="1" x14ac:dyDescent="0.25">
      <c r="B20" s="133" t="s">
        <v>334</v>
      </c>
      <c r="C20" s="21" t="s">
        <v>318</v>
      </c>
      <c r="D20" s="21" t="s">
        <v>47</v>
      </c>
      <c r="E20" s="32" t="s">
        <v>332</v>
      </c>
      <c r="F20" s="304">
        <v>430</v>
      </c>
      <c r="G20" s="304">
        <v>615</v>
      </c>
      <c r="H20" s="304">
        <v>655</v>
      </c>
      <c r="I20" s="304">
        <v>695</v>
      </c>
      <c r="J20" s="304">
        <v>735</v>
      </c>
      <c r="K20" s="390"/>
    </row>
    <row r="21" spans="1:12" ht="283.5" x14ac:dyDescent="0.25">
      <c r="B21" s="133" t="s">
        <v>335</v>
      </c>
      <c r="C21" s="21" t="s">
        <v>336</v>
      </c>
      <c r="D21" s="21" t="s">
        <v>44</v>
      </c>
      <c r="E21" s="32" t="s">
        <v>337</v>
      </c>
      <c r="F21" s="304">
        <v>13.14</v>
      </c>
      <c r="G21" s="304">
        <v>13.5</v>
      </c>
      <c r="H21" s="304">
        <v>13.5</v>
      </c>
      <c r="I21" s="304">
        <v>13.5</v>
      </c>
      <c r="J21" s="304">
        <v>13.5</v>
      </c>
      <c r="K21" s="32" t="s">
        <v>710</v>
      </c>
      <c r="L21" s="138"/>
    </row>
    <row r="22" spans="1:12" ht="15.75" x14ac:dyDescent="0.25">
      <c r="A22" s="12" t="s">
        <v>53</v>
      </c>
      <c r="C22" s="13"/>
      <c r="D22" s="13"/>
      <c r="E22" s="13"/>
      <c r="F22" s="13"/>
      <c r="G22" s="13"/>
      <c r="H22" s="13"/>
      <c r="I22" s="13"/>
      <c r="J22" s="13"/>
    </row>
    <row r="23" spans="1:12" x14ac:dyDescent="0.25">
      <c r="A23" s="14"/>
      <c r="C23" s="15"/>
      <c r="D23" s="15"/>
      <c r="E23" s="15"/>
      <c r="F23" s="15"/>
      <c r="G23" s="15"/>
      <c r="H23" s="15"/>
      <c r="I23" s="15"/>
      <c r="J23" s="15"/>
    </row>
    <row r="24" spans="1:12" x14ac:dyDescent="0.25">
      <c r="A24" s="16" t="s">
        <v>54</v>
      </c>
      <c r="C24" s="17"/>
      <c r="D24" s="17"/>
      <c r="E24" s="13"/>
      <c r="F24" s="13"/>
      <c r="G24" s="13"/>
      <c r="H24" s="13"/>
      <c r="I24" s="13"/>
      <c r="J24" s="13"/>
    </row>
    <row r="25" spans="1:12" x14ac:dyDescent="0.25">
      <c r="B25" s="17"/>
      <c r="C25" s="17"/>
      <c r="D25" s="17"/>
      <c r="E25" s="13"/>
      <c r="F25" s="13"/>
      <c r="G25" s="13"/>
      <c r="H25" s="13"/>
      <c r="I25" s="13"/>
      <c r="J25" s="13"/>
    </row>
    <row r="26" spans="1:12" x14ac:dyDescent="0.25">
      <c r="B26" s="17"/>
      <c r="C26" s="17"/>
      <c r="D26" s="17"/>
      <c r="E26" s="13"/>
      <c r="F26" s="13"/>
      <c r="G26" s="13"/>
      <c r="H26" s="13"/>
      <c r="I26" s="13"/>
      <c r="J26" s="13"/>
    </row>
    <row r="27" spans="1:12" x14ac:dyDescent="0.25">
      <c r="B27" s="17"/>
      <c r="C27" s="17"/>
      <c r="D27" s="17"/>
      <c r="E27" s="13"/>
      <c r="F27" s="13"/>
      <c r="G27" s="13"/>
      <c r="H27" s="13"/>
      <c r="I27" s="13"/>
      <c r="J27" s="13"/>
    </row>
    <row r="28" spans="1:12" x14ac:dyDescent="0.25">
      <c r="B28" s="17"/>
      <c r="C28" s="17"/>
      <c r="D28" s="17"/>
      <c r="E28" s="13"/>
      <c r="F28" s="13"/>
      <c r="G28" s="13"/>
      <c r="H28" s="13"/>
      <c r="I28" s="13"/>
      <c r="J28" s="13"/>
    </row>
    <row r="29" spans="1:12" x14ac:dyDescent="0.25">
      <c r="A29" s="16" t="s">
        <v>55</v>
      </c>
      <c r="E29" s="13"/>
      <c r="F29" s="13"/>
      <c r="G29" s="13"/>
      <c r="H29" s="13"/>
      <c r="I29" s="13"/>
      <c r="J29" s="13"/>
    </row>
    <row r="30" spans="1:12" x14ac:dyDescent="0.25">
      <c r="B30" s="360"/>
      <c r="C30" s="361"/>
      <c r="D30" s="361"/>
      <c r="E30" s="362"/>
      <c r="F30" s="13"/>
      <c r="G30" s="13"/>
      <c r="H30" s="13"/>
      <c r="I30" s="13"/>
      <c r="J30" s="13"/>
    </row>
    <row r="31" spans="1:12" ht="17.25" x14ac:dyDescent="0.25">
      <c r="B31" s="3"/>
      <c r="C31" s="3"/>
      <c r="D31" s="3"/>
      <c r="E31" s="13"/>
      <c r="F31" s="13"/>
      <c r="G31" s="13"/>
      <c r="H31" s="13"/>
      <c r="I31" s="13"/>
      <c r="J31" s="13"/>
    </row>
    <row r="32" spans="1:12" x14ac:dyDescent="0.25">
      <c r="A32" s="7" t="s">
        <v>56</v>
      </c>
    </row>
    <row r="34" spans="2:19" ht="34.15" customHeight="1" x14ac:dyDescent="0.25">
      <c r="B34" s="363" t="s">
        <v>95</v>
      </c>
      <c r="C34" s="4" t="s">
        <v>96</v>
      </c>
      <c r="D34" s="4" t="s">
        <v>97</v>
      </c>
      <c r="E34" s="358" t="s">
        <v>98</v>
      </c>
      <c r="F34" s="358"/>
      <c r="G34" s="358"/>
      <c r="H34" s="358" t="s">
        <v>99</v>
      </c>
      <c r="I34" s="358"/>
      <c r="J34" s="358"/>
      <c r="K34" s="358" t="s">
        <v>100</v>
      </c>
      <c r="L34" s="358"/>
      <c r="M34" s="358"/>
      <c r="N34" s="358" t="s">
        <v>101</v>
      </c>
      <c r="O34" s="358"/>
      <c r="P34" s="358"/>
      <c r="Q34" s="359" t="s">
        <v>102</v>
      </c>
      <c r="R34" s="359"/>
      <c r="S34" s="359"/>
    </row>
    <row r="35" spans="2:19" ht="30" customHeight="1" x14ac:dyDescent="0.25">
      <c r="B35" s="363"/>
      <c r="C35" s="4" t="s">
        <v>35</v>
      </c>
      <c r="D35" s="4" t="s">
        <v>36</v>
      </c>
      <c r="E35" s="19" t="s">
        <v>0</v>
      </c>
      <c r="F35" s="19" t="s">
        <v>1</v>
      </c>
      <c r="G35" s="19" t="s">
        <v>3</v>
      </c>
      <c r="H35" s="19" t="s">
        <v>0</v>
      </c>
      <c r="I35" s="19" t="s">
        <v>1</v>
      </c>
      <c r="J35" s="19" t="s">
        <v>3</v>
      </c>
      <c r="K35" s="19" t="s">
        <v>39</v>
      </c>
      <c r="L35" s="19" t="s">
        <v>38</v>
      </c>
      <c r="M35" s="19" t="s">
        <v>37</v>
      </c>
      <c r="N35" s="19" t="s">
        <v>39</v>
      </c>
      <c r="O35" s="19" t="s">
        <v>38</v>
      </c>
      <c r="P35" s="19" t="s">
        <v>37</v>
      </c>
      <c r="Q35" s="26" t="s">
        <v>0</v>
      </c>
      <c r="R35" s="26" t="s">
        <v>1</v>
      </c>
      <c r="S35" s="26" t="s">
        <v>3</v>
      </c>
    </row>
    <row r="36" spans="2:19" ht="40.5" x14ac:dyDescent="0.25">
      <c r="B36" s="22" t="s">
        <v>338</v>
      </c>
      <c r="C36" s="305">
        <v>2856112.9</v>
      </c>
      <c r="D36" s="305" t="s">
        <v>339</v>
      </c>
      <c r="E36" s="305">
        <v>1284569.4900000002</v>
      </c>
      <c r="F36" s="305">
        <v>1311767.9300000002</v>
      </c>
      <c r="G36" s="305">
        <v>1085760.6400000001</v>
      </c>
      <c r="H36" s="205"/>
      <c r="I36" s="205"/>
      <c r="J36" s="205"/>
      <c r="K36" s="176">
        <f>C36+E36+H36</f>
        <v>4140682.39</v>
      </c>
      <c r="L36" s="176">
        <f>C36+F36+I36</f>
        <v>4167880.83</v>
      </c>
      <c r="M36" s="176">
        <f>C36+G36+J36</f>
        <v>3941873.54</v>
      </c>
      <c r="N36" s="205"/>
      <c r="O36" s="205"/>
      <c r="P36" s="205"/>
      <c r="Q36" s="177">
        <f>K36+N36</f>
        <v>4140682.39</v>
      </c>
      <c r="R36" s="177">
        <f>L36+O36</f>
        <v>4167880.83</v>
      </c>
      <c r="S36" s="177">
        <f>M36+P36</f>
        <v>3941873.54</v>
      </c>
    </row>
    <row r="37" spans="2:19" ht="28.5" x14ac:dyDescent="0.25">
      <c r="B37" s="18" t="s">
        <v>73</v>
      </c>
      <c r="C37" s="139">
        <f>+C36</f>
        <v>2856112.9</v>
      </c>
      <c r="D37" s="139" t="str">
        <f>+D36</f>
        <v xml:space="preserve"> 2,004,699.80 </v>
      </c>
      <c r="E37" s="176">
        <f t="shared" ref="E37:J37" si="0">SUM(E36:E36)</f>
        <v>1284569.4900000002</v>
      </c>
      <c r="F37" s="176">
        <f t="shared" si="0"/>
        <v>1311767.9300000002</v>
      </c>
      <c r="G37" s="176">
        <f t="shared" si="0"/>
        <v>1085760.6400000001</v>
      </c>
      <c r="H37" s="176">
        <f t="shared" si="0"/>
        <v>0</v>
      </c>
      <c r="I37" s="176">
        <f t="shared" si="0"/>
        <v>0</v>
      </c>
      <c r="J37" s="176">
        <f t="shared" si="0"/>
        <v>0</v>
      </c>
      <c r="K37" s="176">
        <f>C37+E37+H37</f>
        <v>4140682.39</v>
      </c>
      <c r="L37" s="176">
        <f>C37+F37+I37</f>
        <v>4167880.83</v>
      </c>
      <c r="M37" s="176">
        <f>C37+G37+J37</f>
        <v>3941873.54</v>
      </c>
      <c r="N37" s="178" t="s">
        <v>2</v>
      </c>
      <c r="O37" s="178" t="s">
        <v>2</v>
      </c>
      <c r="P37" s="178" t="s">
        <v>2</v>
      </c>
      <c r="Q37" s="177" t="s">
        <v>2</v>
      </c>
      <c r="R37" s="177" t="s">
        <v>2</v>
      </c>
      <c r="S37" s="177" t="s">
        <v>2</v>
      </c>
    </row>
    <row r="38" spans="2:19" ht="28.5" x14ac:dyDescent="0.25">
      <c r="B38" s="18" t="s">
        <v>60</v>
      </c>
      <c r="C38" s="306"/>
      <c r="D38" s="139"/>
      <c r="E38" s="176" t="s">
        <v>72</v>
      </c>
      <c r="F38" s="176" t="s">
        <v>72</v>
      </c>
      <c r="G38" s="176" t="s">
        <v>72</v>
      </c>
      <c r="H38" s="176" t="s">
        <v>72</v>
      </c>
      <c r="I38" s="176" t="s">
        <v>72</v>
      </c>
      <c r="J38" s="176" t="s">
        <v>72</v>
      </c>
      <c r="K38" s="176">
        <f>C38</f>
        <v>0</v>
      </c>
      <c r="L38" s="176">
        <f>C38</f>
        <v>0</v>
      </c>
      <c r="M38" s="176">
        <f>C38</f>
        <v>0</v>
      </c>
      <c r="N38" s="178" t="s">
        <v>2</v>
      </c>
      <c r="O38" s="178" t="s">
        <v>2</v>
      </c>
      <c r="P38" s="178" t="s">
        <v>2</v>
      </c>
      <c r="Q38" s="177" t="s">
        <v>2</v>
      </c>
      <c r="R38" s="177" t="s">
        <v>2</v>
      </c>
      <c r="S38" s="177" t="s">
        <v>2</v>
      </c>
    </row>
    <row r="39" spans="2:19" s="199" customFormat="1" ht="19.899999999999999" customHeight="1" x14ac:dyDescent="0.25">
      <c r="B39" s="246" t="s">
        <v>698</v>
      </c>
      <c r="C39" s="294">
        <f>SUM(C36:C36)</f>
        <v>2856112.9</v>
      </c>
      <c r="D39" s="294">
        <f>+D37+D38</f>
        <v>2004699.8</v>
      </c>
      <c r="E39" s="294">
        <f>E37</f>
        <v>1284569.4900000002</v>
      </c>
      <c r="F39" s="294">
        <f t="shared" ref="F39:J39" si="1">F37</f>
        <v>1311767.9300000002</v>
      </c>
      <c r="G39" s="294">
        <f t="shared" si="1"/>
        <v>1085760.6400000001</v>
      </c>
      <c r="H39" s="294">
        <f t="shared" si="1"/>
        <v>0</v>
      </c>
      <c r="I39" s="294">
        <f t="shared" si="1"/>
        <v>0</v>
      </c>
      <c r="J39" s="294">
        <f t="shared" si="1"/>
        <v>0</v>
      </c>
      <c r="K39" s="296">
        <f>K37+K38</f>
        <v>4140682.39</v>
      </c>
      <c r="L39" s="296">
        <f t="shared" ref="L39:M39" si="2">L37+L38</f>
        <v>4167880.83</v>
      </c>
      <c r="M39" s="296">
        <f t="shared" si="2"/>
        <v>3941873.54</v>
      </c>
      <c r="N39" s="296">
        <f>SUM(N36:N36)</f>
        <v>0</v>
      </c>
      <c r="O39" s="296">
        <f>SUM(O36:O36)</f>
        <v>0</v>
      </c>
      <c r="P39" s="296">
        <f>SUM(P36:P36)</f>
        <v>0</v>
      </c>
      <c r="Q39" s="295">
        <f>K39+N39</f>
        <v>4140682.39</v>
      </c>
      <c r="R39" s="295">
        <f>L39+O39</f>
        <v>4167880.83</v>
      </c>
      <c r="S39" s="295">
        <f>M39+P39</f>
        <v>3941873.54</v>
      </c>
    </row>
    <row r="44" spans="2:19" x14ac:dyDescent="0.25">
      <c r="E44" s="180"/>
      <c r="F44" s="180"/>
      <c r="G44" s="180"/>
    </row>
  </sheetData>
  <mergeCells count="14">
    <mergeCell ref="N34:P34"/>
    <mergeCell ref="Q34:S34"/>
    <mergeCell ref="K19:K20"/>
    <mergeCell ref="B30:E30"/>
    <mergeCell ref="B34:B35"/>
    <mergeCell ref="E34:G34"/>
    <mergeCell ref="H34:J34"/>
    <mergeCell ref="K34:M34"/>
    <mergeCell ref="K17:K18"/>
    <mergeCell ref="B17:B18"/>
    <mergeCell ref="C17:C18"/>
    <mergeCell ref="D17:D18"/>
    <mergeCell ref="E17:E18"/>
    <mergeCell ref="F17:J17"/>
  </mergeCells>
  <dataValidations count="4">
    <dataValidation type="custom" allowBlank="1" showInputMessage="1" showErrorMessage="1" sqref="N36:P36" xr:uid="{8BEED0DA-1B3A-46AF-ACD1-C73DB9E8B7D2}">
      <formula1>"-"</formula1>
    </dataValidation>
    <dataValidation type="list" allowBlank="1" showInputMessage="1" showErrorMessage="1" sqref="B13" xr:uid="{25CAD3AC-BD3A-465B-9B33-A298EAA626C3}">
      <formula1>$U$2:$U$4</formula1>
    </dataValidation>
    <dataValidation type="list" allowBlank="1" showInputMessage="1" showErrorMessage="1" sqref="D19:D21" xr:uid="{51DFE319-CEC1-4B96-89A6-08872C467C25}">
      <formula1>$V$2:$V$3</formula1>
    </dataValidation>
    <dataValidation showInputMessage="1" showErrorMessage="1" sqref="E19:E21" xr:uid="{C354D8FD-4B21-4809-BA41-2771BED55853}"/>
  </dataValidations>
  <hyperlinks>
    <hyperlink ref="C12" location="_ftn1" display="_ftn1" xr:uid="{A25F5DAE-0491-475D-9768-066B78A645CD}"/>
    <hyperlink ref="D12" location="_ftn2" display="_ftn2" xr:uid="{BC6EAC09-79E7-47BD-BB18-37BFEB893555}"/>
    <hyperlink ref="E12" location="_ftn3" display="_ftn3" xr:uid="{822B0551-415D-49C6-BB97-0DD459245BEC}"/>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2289" r:id="rId3" name="Check Box 1">
              <controlPr defaultSize="0" autoFill="0" autoLine="0" autoPict="0">
                <anchor moveWithCells="1">
                  <from>
                    <xdr:col>1</xdr:col>
                    <xdr:colOff>85725</xdr:colOff>
                    <xdr:row>26</xdr:row>
                    <xdr:rowOff>0</xdr:rowOff>
                  </from>
                  <to>
                    <xdr:col>2</xdr:col>
                    <xdr:colOff>1171575</xdr:colOff>
                    <xdr:row>27</xdr:row>
                    <xdr:rowOff>38100</xdr:rowOff>
                  </to>
                </anchor>
              </controlPr>
            </control>
          </mc:Choice>
        </mc:AlternateContent>
        <mc:AlternateContent xmlns:mc="http://schemas.openxmlformats.org/markup-compatibility/2006">
          <mc:Choice Requires="x14">
            <control shapeId="12290" r:id="rId4" name="Check Box 2">
              <controlPr defaultSize="0" autoFill="0" autoLine="0" autoPict="0">
                <anchor moveWithCells="1">
                  <from>
                    <xdr:col>1</xdr:col>
                    <xdr:colOff>85725</xdr:colOff>
                    <xdr:row>23</xdr:row>
                    <xdr:rowOff>171450</xdr:rowOff>
                  </from>
                  <to>
                    <xdr:col>3</xdr:col>
                    <xdr:colOff>266700</xdr:colOff>
                    <xdr:row>25</xdr:row>
                    <xdr:rowOff>47625</xdr:rowOff>
                  </to>
                </anchor>
              </controlPr>
            </control>
          </mc:Choice>
        </mc:AlternateContent>
        <mc:AlternateContent xmlns:mc="http://schemas.openxmlformats.org/markup-compatibility/2006">
          <mc:Choice Requires="x14">
            <control shapeId="12291" r:id="rId5" name="Check Box 3">
              <controlPr defaultSize="0" autoFill="0" autoLine="0" autoPict="0">
                <anchor moveWithCells="1">
                  <from>
                    <xdr:col>1</xdr:col>
                    <xdr:colOff>85725</xdr:colOff>
                    <xdr:row>25</xdr:row>
                    <xdr:rowOff>28575</xdr:rowOff>
                  </from>
                  <to>
                    <xdr:col>3</xdr:col>
                    <xdr:colOff>266700</xdr:colOff>
                    <xdr:row>26</xdr:row>
                    <xdr:rowOff>9525</xdr:rowOff>
                  </to>
                </anchor>
              </controlPr>
            </control>
          </mc:Choice>
        </mc:AlternateContent>
        <mc:AlternateContent xmlns:mc="http://schemas.openxmlformats.org/markup-compatibility/2006">
          <mc:Choice Requires="x14">
            <control shapeId="12292" r:id="rId6" name="Check Box 4">
              <controlPr defaultSize="0" autoFill="0" autoLine="0" autoPict="0">
                <anchor moveWithCells="1">
                  <from>
                    <xdr:col>1</xdr:col>
                    <xdr:colOff>95250</xdr:colOff>
                    <xdr:row>27</xdr:row>
                    <xdr:rowOff>9525</xdr:rowOff>
                  </from>
                  <to>
                    <xdr:col>2</xdr:col>
                    <xdr:colOff>571500</xdr:colOff>
                    <xdr:row>28</xdr:row>
                    <xdr:rowOff>9525</xdr:rowOff>
                  </to>
                </anchor>
              </controlPr>
            </control>
          </mc:Choice>
        </mc:AlternateContent>
        <mc:AlternateContent xmlns:mc="http://schemas.openxmlformats.org/markup-compatibility/2006">
          <mc:Choice Requires="x14">
            <control shapeId="12293" r:id="rId7" name="Check Box 5">
              <controlPr defaultSize="0" autoFill="0" autoLine="0" autoPict="0">
                <anchor moveWithCells="1">
                  <from>
                    <xdr:col>1</xdr:col>
                    <xdr:colOff>85725</xdr:colOff>
                    <xdr:row>26</xdr:row>
                    <xdr:rowOff>0</xdr:rowOff>
                  </from>
                  <to>
                    <xdr:col>2</xdr:col>
                    <xdr:colOff>1171575</xdr:colOff>
                    <xdr:row>27</xdr:row>
                    <xdr:rowOff>28575</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1</xdr:col>
                    <xdr:colOff>85725</xdr:colOff>
                    <xdr:row>23</xdr:row>
                    <xdr:rowOff>171450</xdr:rowOff>
                  </from>
                  <to>
                    <xdr:col>3</xdr:col>
                    <xdr:colOff>266700</xdr:colOff>
                    <xdr:row>25</xdr:row>
                    <xdr:rowOff>28575</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1</xdr:col>
                    <xdr:colOff>85725</xdr:colOff>
                    <xdr:row>25</xdr:row>
                    <xdr:rowOff>28575</xdr:rowOff>
                  </from>
                  <to>
                    <xdr:col>3</xdr:col>
                    <xdr:colOff>266700</xdr:colOff>
                    <xdr:row>26</xdr:row>
                    <xdr:rowOff>0</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1</xdr:col>
                    <xdr:colOff>95250</xdr:colOff>
                    <xdr:row>27</xdr:row>
                    <xdr:rowOff>9525</xdr:rowOff>
                  </from>
                  <to>
                    <xdr:col>2</xdr:col>
                    <xdr:colOff>571500</xdr:colOff>
                    <xdr:row>28</xdr:row>
                    <xdr:rowOff>0</xdr:rowOff>
                  </to>
                </anchor>
              </controlPr>
            </control>
          </mc:Choice>
        </mc:AlternateContent>
        <mc:AlternateContent xmlns:mc="http://schemas.openxmlformats.org/markup-compatibility/2006">
          <mc:Choice Requires="x14">
            <control shapeId="12297" r:id="rId11" name="Check Box 9">
              <controlPr defaultSize="0" autoFill="0" autoLine="0" autoPict="0">
                <anchor moveWithCells="1">
                  <from>
                    <xdr:col>1</xdr:col>
                    <xdr:colOff>85725</xdr:colOff>
                    <xdr:row>26</xdr:row>
                    <xdr:rowOff>0</xdr:rowOff>
                  </from>
                  <to>
                    <xdr:col>2</xdr:col>
                    <xdr:colOff>1171575</xdr:colOff>
                    <xdr:row>27</xdr:row>
                    <xdr:rowOff>28575</xdr:rowOff>
                  </to>
                </anchor>
              </controlPr>
            </control>
          </mc:Choice>
        </mc:AlternateContent>
        <mc:AlternateContent xmlns:mc="http://schemas.openxmlformats.org/markup-compatibility/2006">
          <mc:Choice Requires="x14">
            <control shapeId="12298" r:id="rId12" name="Check Box 10">
              <controlPr defaultSize="0" autoFill="0" autoLine="0" autoPict="0">
                <anchor moveWithCells="1">
                  <from>
                    <xdr:col>1</xdr:col>
                    <xdr:colOff>85725</xdr:colOff>
                    <xdr:row>23</xdr:row>
                    <xdr:rowOff>171450</xdr:rowOff>
                  </from>
                  <to>
                    <xdr:col>3</xdr:col>
                    <xdr:colOff>266700</xdr:colOff>
                    <xdr:row>25</xdr:row>
                    <xdr:rowOff>28575</xdr:rowOff>
                  </to>
                </anchor>
              </controlPr>
            </control>
          </mc:Choice>
        </mc:AlternateContent>
        <mc:AlternateContent xmlns:mc="http://schemas.openxmlformats.org/markup-compatibility/2006">
          <mc:Choice Requires="x14">
            <control shapeId="12299" r:id="rId13" name="Check Box 11">
              <controlPr defaultSize="0" autoFill="0" autoLine="0" autoPict="0">
                <anchor moveWithCells="1">
                  <from>
                    <xdr:col>1</xdr:col>
                    <xdr:colOff>85725</xdr:colOff>
                    <xdr:row>25</xdr:row>
                    <xdr:rowOff>28575</xdr:rowOff>
                  </from>
                  <to>
                    <xdr:col>3</xdr:col>
                    <xdr:colOff>266700</xdr:colOff>
                    <xdr:row>26</xdr:row>
                    <xdr:rowOff>0</xdr:rowOff>
                  </to>
                </anchor>
              </controlPr>
            </control>
          </mc:Choice>
        </mc:AlternateContent>
        <mc:AlternateContent xmlns:mc="http://schemas.openxmlformats.org/markup-compatibility/2006">
          <mc:Choice Requires="x14">
            <control shapeId="12300" r:id="rId14" name="Check Box 12">
              <controlPr defaultSize="0" autoFill="0" autoLine="0" autoPict="0">
                <anchor moveWithCells="1">
                  <from>
                    <xdr:col>1</xdr:col>
                    <xdr:colOff>95250</xdr:colOff>
                    <xdr:row>27</xdr:row>
                    <xdr:rowOff>9525</xdr:rowOff>
                  </from>
                  <to>
                    <xdr:col>2</xdr:col>
                    <xdr:colOff>571500</xdr:colOff>
                    <xdr:row>28</xdr:row>
                    <xdr:rowOff>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472C1-A75A-40A4-BA14-6FCA06E39F1B}">
  <dimension ref="A1:Y49"/>
  <sheetViews>
    <sheetView topLeftCell="A25" workbookViewId="0">
      <selection activeCell="L36" sqref="L36"/>
    </sheetView>
  </sheetViews>
  <sheetFormatPr defaultRowHeight="15" x14ac:dyDescent="0.25"/>
  <cols>
    <col min="1" max="1" width="6" customWidth="1"/>
    <col min="2" max="2" width="33.140625" customWidth="1"/>
    <col min="3" max="3" width="27.85546875" customWidth="1"/>
    <col min="4" max="4" width="31.5703125" customWidth="1"/>
    <col min="5" max="5" width="40.28515625" customWidth="1"/>
    <col min="6" max="6" width="28.42578125" customWidth="1"/>
    <col min="7" max="7" width="22.28515625" customWidth="1"/>
    <col min="8" max="8" width="11.85546875" customWidth="1"/>
    <col min="9" max="9" width="10.42578125" customWidth="1"/>
    <col min="10" max="10" width="13.85546875" customWidth="1"/>
    <col min="11" max="11" width="25.140625" customWidth="1"/>
    <col min="12" max="12" width="11.85546875" customWidth="1"/>
    <col min="13" max="13" width="10.42578125" customWidth="1"/>
    <col min="14" max="14" width="9.5703125" customWidth="1"/>
    <col min="15" max="15" width="8.140625" customWidth="1"/>
    <col min="16" max="16" width="8" customWidth="1"/>
    <col min="17" max="17" width="10.140625" bestFit="1" customWidth="1"/>
    <col min="18" max="18" width="10" bestFit="1" customWidth="1"/>
    <col min="19" max="19" width="10.5703125"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1187</v>
      </c>
      <c r="E5" s="25" t="s">
        <v>83</v>
      </c>
      <c r="F5" s="20">
        <v>2021</v>
      </c>
      <c r="H5" s="3"/>
      <c r="I5" s="3"/>
      <c r="J5" s="3"/>
    </row>
    <row r="6" spans="1:23" ht="36.75" customHeight="1" x14ac:dyDescent="0.25">
      <c r="B6" s="25" t="s">
        <v>80</v>
      </c>
      <c r="C6" s="29" t="s">
        <v>546</v>
      </c>
      <c r="E6" s="25" t="s">
        <v>84</v>
      </c>
      <c r="F6" s="20">
        <v>2026</v>
      </c>
      <c r="H6" s="3"/>
      <c r="I6" s="3"/>
      <c r="J6" s="3"/>
    </row>
    <row r="7" spans="1:23" ht="18" customHeight="1" x14ac:dyDescent="0.25">
      <c r="B7" s="25" t="s">
        <v>81</v>
      </c>
      <c r="C7" s="20">
        <v>12005</v>
      </c>
      <c r="H7" s="3"/>
      <c r="I7" s="3"/>
      <c r="J7" s="3"/>
    </row>
    <row r="8" spans="1:23" ht="132.75" customHeight="1" x14ac:dyDescent="0.25">
      <c r="B8" s="25" t="s">
        <v>82</v>
      </c>
      <c r="C8" s="29" t="s">
        <v>581</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108.75" x14ac:dyDescent="0.3">
      <c r="B13" s="131" t="s">
        <v>48</v>
      </c>
      <c r="C13" s="133" t="s">
        <v>581</v>
      </c>
      <c r="D13" s="21"/>
      <c r="E13" s="132" t="s">
        <v>582</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1.75" customHeight="1" x14ac:dyDescent="0.25">
      <c r="B17" s="365" t="s">
        <v>89</v>
      </c>
      <c r="C17" s="365" t="s">
        <v>90</v>
      </c>
      <c r="D17" s="365" t="s">
        <v>91</v>
      </c>
      <c r="E17" s="365" t="s">
        <v>92</v>
      </c>
      <c r="F17" s="364" t="s">
        <v>93</v>
      </c>
      <c r="G17" s="364"/>
      <c r="H17" s="364"/>
      <c r="I17" s="364"/>
      <c r="J17" s="364"/>
      <c r="K17" s="364" t="s">
        <v>94</v>
      </c>
    </row>
    <row r="18" spans="1:11" ht="21" customHeight="1" x14ac:dyDescent="0.25">
      <c r="B18" s="365"/>
      <c r="C18" s="365"/>
      <c r="D18" s="365"/>
      <c r="E18" s="365"/>
      <c r="F18" s="27" t="s">
        <v>51</v>
      </c>
      <c r="G18" s="27" t="s">
        <v>52</v>
      </c>
      <c r="H18" s="27" t="s">
        <v>0</v>
      </c>
      <c r="I18" s="27" t="s">
        <v>1</v>
      </c>
      <c r="J18" s="27" t="s">
        <v>3</v>
      </c>
      <c r="K18" s="364"/>
    </row>
    <row r="19" spans="1:11" ht="33" customHeight="1" x14ac:dyDescent="0.25">
      <c r="B19" s="133" t="s">
        <v>583</v>
      </c>
      <c r="C19" s="21" t="s">
        <v>376</v>
      </c>
      <c r="D19" s="21" t="s">
        <v>47</v>
      </c>
      <c r="E19" s="21" t="s">
        <v>341</v>
      </c>
      <c r="F19" s="216">
        <v>0</v>
      </c>
      <c r="G19" s="21">
        <v>0</v>
      </c>
      <c r="H19" s="136">
        <v>0</v>
      </c>
      <c r="I19" s="21">
        <v>0</v>
      </c>
      <c r="J19" s="21">
        <v>0</v>
      </c>
      <c r="K19" s="21"/>
    </row>
    <row r="20" spans="1:11" ht="39.75" customHeight="1" x14ac:dyDescent="0.25"/>
    <row r="21" spans="1:11" ht="17.25" x14ac:dyDescent="0.25">
      <c r="B21" s="3"/>
      <c r="C21" s="3"/>
      <c r="D21" s="3"/>
      <c r="E21" s="3"/>
      <c r="F21" s="3"/>
      <c r="G21" s="3"/>
      <c r="H21" s="3"/>
      <c r="I21" s="3"/>
      <c r="J21" s="3"/>
    </row>
    <row r="22" spans="1:11" ht="15.75" x14ac:dyDescent="0.25">
      <c r="A22" s="12" t="s">
        <v>53</v>
      </c>
      <c r="C22" s="13"/>
      <c r="D22" s="13"/>
      <c r="E22" s="13"/>
      <c r="F22" s="13"/>
      <c r="G22" s="13"/>
      <c r="H22" s="13"/>
      <c r="I22" s="13"/>
      <c r="J22" s="13"/>
    </row>
    <row r="23" spans="1:11" x14ac:dyDescent="0.25">
      <c r="A23" s="14"/>
      <c r="C23" s="15"/>
      <c r="D23" s="15"/>
      <c r="E23" s="15"/>
      <c r="F23" s="15"/>
      <c r="G23" s="15"/>
      <c r="H23" s="15"/>
      <c r="I23" s="15"/>
      <c r="J23" s="15"/>
    </row>
    <row r="24" spans="1:11" x14ac:dyDescent="0.25">
      <c r="A24" s="16" t="s">
        <v>54</v>
      </c>
      <c r="C24" s="17"/>
      <c r="D24" s="17"/>
      <c r="E24" s="13"/>
      <c r="F24" s="13"/>
      <c r="G24" s="13"/>
      <c r="H24" s="13"/>
      <c r="I24" s="13"/>
      <c r="J24" s="13"/>
    </row>
    <row r="25" spans="1:11" x14ac:dyDescent="0.25">
      <c r="B25" s="17"/>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A29" s="16" t="s">
        <v>55</v>
      </c>
      <c r="E29" s="13"/>
      <c r="F29" s="13"/>
      <c r="G29" s="13"/>
      <c r="H29" s="13"/>
      <c r="I29" s="13"/>
      <c r="J29" s="13"/>
    </row>
    <row r="30" spans="1:11" ht="62.25" customHeight="1" x14ac:dyDescent="0.25">
      <c r="B30" s="360" t="s">
        <v>178</v>
      </c>
      <c r="C30" s="361"/>
      <c r="D30" s="361"/>
      <c r="E30" s="362"/>
      <c r="F30" s="13"/>
      <c r="G30" s="13"/>
      <c r="H30" s="13"/>
      <c r="I30" s="13"/>
      <c r="J30" s="13"/>
    </row>
    <row r="31" spans="1:11" ht="17.25" x14ac:dyDescent="0.25">
      <c r="B31" s="3"/>
      <c r="C31" s="3"/>
      <c r="D31" s="3"/>
      <c r="E31" s="13"/>
      <c r="F31" s="13"/>
      <c r="G31" s="13"/>
      <c r="H31" s="13"/>
      <c r="I31" s="13"/>
      <c r="J31" s="13"/>
    </row>
    <row r="32" spans="1:11" x14ac:dyDescent="0.25">
      <c r="A32" s="7" t="s">
        <v>56</v>
      </c>
    </row>
    <row r="34" spans="2:25" ht="43.5" customHeight="1" x14ac:dyDescent="0.25">
      <c r="B34" s="363" t="s">
        <v>95</v>
      </c>
      <c r="C34" s="4" t="s">
        <v>96</v>
      </c>
      <c r="D34" s="4" t="s">
        <v>97</v>
      </c>
      <c r="E34" s="358" t="s">
        <v>98</v>
      </c>
      <c r="F34" s="358"/>
      <c r="G34" s="358"/>
      <c r="H34" s="358" t="s">
        <v>99</v>
      </c>
      <c r="I34" s="358"/>
      <c r="J34" s="358"/>
      <c r="K34" s="358" t="s">
        <v>100</v>
      </c>
      <c r="L34" s="358"/>
      <c r="M34" s="358"/>
      <c r="N34" s="358" t="s">
        <v>101</v>
      </c>
      <c r="O34" s="358"/>
      <c r="P34" s="358"/>
      <c r="Q34" s="359" t="s">
        <v>102</v>
      </c>
      <c r="R34" s="359"/>
      <c r="S34" s="359"/>
    </row>
    <row r="35" spans="2:25" ht="30" customHeight="1" x14ac:dyDescent="0.25">
      <c r="B35" s="363"/>
      <c r="C35" s="4" t="s">
        <v>35</v>
      </c>
      <c r="D35" s="4" t="s">
        <v>36</v>
      </c>
      <c r="E35" s="19" t="s">
        <v>0</v>
      </c>
      <c r="F35" s="19" t="s">
        <v>1</v>
      </c>
      <c r="G35" s="19" t="s">
        <v>3</v>
      </c>
      <c r="H35" s="19" t="s">
        <v>0</v>
      </c>
      <c r="I35" s="19" t="s">
        <v>1</v>
      </c>
      <c r="J35" s="19" t="s">
        <v>3</v>
      </c>
      <c r="K35" s="19" t="s">
        <v>39</v>
      </c>
      <c r="L35" s="19" t="s">
        <v>38</v>
      </c>
      <c r="M35" s="19" t="s">
        <v>37</v>
      </c>
      <c r="N35" s="19" t="s">
        <v>39</v>
      </c>
      <c r="O35" s="19" t="s">
        <v>38</v>
      </c>
      <c r="P35" s="19" t="s">
        <v>37</v>
      </c>
      <c r="Q35" s="26" t="s">
        <v>0</v>
      </c>
      <c r="R35" s="26" t="s">
        <v>1</v>
      </c>
      <c r="S35" s="26" t="s">
        <v>3</v>
      </c>
    </row>
    <row r="36" spans="2:25" ht="40.5" x14ac:dyDescent="0.25">
      <c r="B36" s="22" t="s">
        <v>312</v>
      </c>
      <c r="C36" s="51">
        <v>69375.851999999999</v>
      </c>
      <c r="D36" s="51">
        <v>60857.9</v>
      </c>
      <c r="E36" s="93"/>
      <c r="F36" s="93"/>
      <c r="G36" s="93"/>
      <c r="H36" s="93">
        <v>-24162.6</v>
      </c>
      <c r="I36" s="93">
        <v>-41951.5</v>
      </c>
      <c r="J36" s="93">
        <v>-59740.3</v>
      </c>
      <c r="K36" s="52">
        <f>C36+E36+H36</f>
        <v>45213.252</v>
      </c>
      <c r="L36" s="52">
        <f>C36+F36+I36</f>
        <v>27424.351999999999</v>
      </c>
      <c r="M36" s="52">
        <f>C36+G36+J36</f>
        <v>9635.551999999996</v>
      </c>
      <c r="N36" s="93"/>
      <c r="O36" s="93"/>
      <c r="P36" s="93"/>
      <c r="Q36" s="70">
        <f>K36+N36</f>
        <v>45213.252</v>
      </c>
      <c r="R36" s="70">
        <f>L36+O36</f>
        <v>27424.351999999999</v>
      </c>
      <c r="S36" s="70">
        <f>M36+P36</f>
        <v>9635.551999999996</v>
      </c>
      <c r="T36" s="86"/>
      <c r="U36" s="86"/>
      <c r="V36" s="86"/>
      <c r="W36" s="86"/>
      <c r="X36" s="86"/>
      <c r="Y36" s="86"/>
    </row>
    <row r="37" spans="2:25" ht="28.5" x14ac:dyDescent="0.25">
      <c r="B37" s="18" t="s">
        <v>73</v>
      </c>
      <c r="C37" s="51">
        <f>+C36</f>
        <v>69375.851999999999</v>
      </c>
      <c r="D37" s="51">
        <f>+D36</f>
        <v>60857.9</v>
      </c>
      <c r="E37" s="52">
        <f t="shared" ref="E37:J37" si="0">SUM(E36:E36)</f>
        <v>0</v>
      </c>
      <c r="F37" s="52">
        <f t="shared" si="0"/>
        <v>0</v>
      </c>
      <c r="G37" s="52">
        <f t="shared" si="0"/>
        <v>0</v>
      </c>
      <c r="H37" s="52">
        <f t="shared" si="0"/>
        <v>-24162.6</v>
      </c>
      <c r="I37" s="52">
        <f t="shared" si="0"/>
        <v>-41951.5</v>
      </c>
      <c r="J37" s="52">
        <f t="shared" si="0"/>
        <v>-59740.3</v>
      </c>
      <c r="K37" s="52">
        <f>C37+E37+H37</f>
        <v>45213.252</v>
      </c>
      <c r="L37" s="52">
        <f>C37+F37+I37</f>
        <v>27424.351999999999</v>
      </c>
      <c r="M37" s="52">
        <f>C37+G37+J37</f>
        <v>9635.551999999996</v>
      </c>
      <c r="N37" s="82" t="s">
        <v>2</v>
      </c>
      <c r="O37" s="82" t="s">
        <v>2</v>
      </c>
      <c r="P37" s="82" t="s">
        <v>2</v>
      </c>
      <c r="Q37" s="70" t="s">
        <v>2</v>
      </c>
      <c r="R37" s="70" t="s">
        <v>2</v>
      </c>
      <c r="S37" s="70" t="s">
        <v>2</v>
      </c>
      <c r="T37" s="86"/>
      <c r="U37" s="86"/>
      <c r="V37" s="86"/>
      <c r="W37" s="86"/>
      <c r="X37" s="86"/>
      <c r="Y37" s="86"/>
    </row>
    <row r="38" spans="2:25" ht="28.5" x14ac:dyDescent="0.25">
      <c r="B38" s="18" t="s">
        <v>60</v>
      </c>
      <c r="C38" s="51"/>
      <c r="D38" s="51"/>
      <c r="E38" s="52" t="s">
        <v>72</v>
      </c>
      <c r="F38" s="52" t="s">
        <v>72</v>
      </c>
      <c r="G38" s="52" t="s">
        <v>72</v>
      </c>
      <c r="H38" s="52" t="s">
        <v>72</v>
      </c>
      <c r="I38" s="52" t="s">
        <v>72</v>
      </c>
      <c r="J38" s="52" t="s">
        <v>72</v>
      </c>
      <c r="K38" s="52"/>
      <c r="L38" s="52">
        <f>C38</f>
        <v>0</v>
      </c>
      <c r="M38" s="52">
        <f>C38</f>
        <v>0</v>
      </c>
      <c r="N38" s="82" t="s">
        <v>2</v>
      </c>
      <c r="O38" s="82" t="s">
        <v>2</v>
      </c>
      <c r="P38" s="82" t="s">
        <v>2</v>
      </c>
      <c r="Q38" s="70" t="s">
        <v>2</v>
      </c>
      <c r="R38" s="70" t="s">
        <v>2</v>
      </c>
      <c r="S38" s="70" t="s">
        <v>2</v>
      </c>
      <c r="T38" s="86"/>
      <c r="U38" s="86"/>
      <c r="V38" s="86"/>
      <c r="W38" s="86"/>
      <c r="X38" s="86"/>
      <c r="Y38" s="86"/>
    </row>
    <row r="39" spans="2:25" x14ac:dyDescent="0.25">
      <c r="B39" s="246" t="s">
        <v>698</v>
      </c>
      <c r="C39" s="259">
        <f>C36</f>
        <v>69375.851999999999</v>
      </c>
      <c r="D39" s="259">
        <f>D36</f>
        <v>60857.9</v>
      </c>
      <c r="E39" s="259">
        <f>E37</f>
        <v>0</v>
      </c>
      <c r="F39" s="259">
        <f t="shared" ref="F39:J39" si="1">F37</f>
        <v>0</v>
      </c>
      <c r="G39" s="259">
        <f t="shared" si="1"/>
        <v>0</v>
      </c>
      <c r="H39" s="259">
        <f t="shared" si="1"/>
        <v>-24162.6</v>
      </c>
      <c r="I39" s="259">
        <f t="shared" si="1"/>
        <v>-41951.5</v>
      </c>
      <c r="J39" s="259">
        <f t="shared" si="1"/>
        <v>-59740.3</v>
      </c>
      <c r="K39" s="260">
        <f>K37+K38</f>
        <v>45213.252</v>
      </c>
      <c r="L39" s="260">
        <f t="shared" ref="L39:M39" si="2">L37+L38</f>
        <v>27424.351999999999</v>
      </c>
      <c r="M39" s="260">
        <f t="shared" si="2"/>
        <v>9635.551999999996</v>
      </c>
      <c r="N39" s="82">
        <f>SUM(N36:N36)</f>
        <v>0</v>
      </c>
      <c r="O39" s="82">
        <f>SUM(O36:O36)</f>
        <v>0</v>
      </c>
      <c r="P39" s="82">
        <f>SUM(P36:P36)</f>
        <v>0</v>
      </c>
      <c r="Q39" s="70">
        <f>K39+N39</f>
        <v>45213.252</v>
      </c>
      <c r="R39" s="70">
        <f>L39+O39</f>
        <v>27424.351999999999</v>
      </c>
      <c r="S39" s="70">
        <f>M39+P39</f>
        <v>9635.551999999996</v>
      </c>
      <c r="T39" s="86"/>
      <c r="U39" s="86"/>
      <c r="V39" s="86"/>
      <c r="W39" s="86"/>
      <c r="X39" s="86"/>
      <c r="Y39" s="86"/>
    </row>
    <row r="47" spans="2:25" x14ac:dyDescent="0.25">
      <c r="H47" s="36"/>
      <c r="J47" s="36"/>
    </row>
    <row r="49" spans="8:8" x14ac:dyDescent="0.25">
      <c r="H49" s="36"/>
    </row>
  </sheetData>
  <mergeCells count="13">
    <mergeCell ref="Q34:S34"/>
    <mergeCell ref="B30:E30"/>
    <mergeCell ref="B34:B35"/>
    <mergeCell ref="E34:G34"/>
    <mergeCell ref="H34:J34"/>
    <mergeCell ref="K34:M34"/>
    <mergeCell ref="N34:P34"/>
    <mergeCell ref="K17:K18"/>
    <mergeCell ref="B17:B18"/>
    <mergeCell ref="C17:C18"/>
    <mergeCell ref="D17:D18"/>
    <mergeCell ref="E17:E18"/>
    <mergeCell ref="F17:J17"/>
  </mergeCells>
  <dataValidations count="4">
    <dataValidation type="list" allowBlank="1" showInputMessage="1" showErrorMessage="1" sqref="D19" xr:uid="{83D91960-244C-42C2-9FB3-108939F80DCE}">
      <formula1>$V$2:$V$3</formula1>
    </dataValidation>
    <dataValidation showInputMessage="1" showErrorMessage="1" sqref="E19" xr:uid="{74991403-F799-406F-A0B5-68EEFB390AAB}"/>
    <dataValidation type="custom" allowBlank="1" showInputMessage="1" showErrorMessage="1" sqref="N36:P36" xr:uid="{2516B5DF-CA56-4008-B606-397CABAA8952}">
      <formula1>"-"</formula1>
    </dataValidation>
    <dataValidation type="list" allowBlank="1" showInputMessage="1" showErrorMessage="1" sqref="B13" xr:uid="{A2774B2D-CF41-4CDC-8099-9559A6403601}">
      <formula1>$U$2:$U$4</formula1>
    </dataValidation>
  </dataValidations>
  <hyperlinks>
    <hyperlink ref="C12" location="_ftn1" display="_ftn1" xr:uid="{5103F544-86D4-4035-AC01-B1FA634DD021}"/>
    <hyperlink ref="D12" location="_ftn2" display="_ftn2" xr:uid="{06C3ABB1-39B1-4D8E-B93F-1FD62DA7AEEE}"/>
    <hyperlink ref="E12" location="_ftn3" display="_ftn3" xr:uid="{C49918FE-38B7-4CB9-AD5A-3D1F1F71DFC8}"/>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6081" r:id="rId3" name="Check Box 1">
              <controlPr defaultSize="0" autoFill="0" autoLine="0" autoPict="0">
                <anchor moveWithCells="1">
                  <from>
                    <xdr:col>1</xdr:col>
                    <xdr:colOff>85725</xdr:colOff>
                    <xdr:row>26</xdr:row>
                    <xdr:rowOff>0</xdr:rowOff>
                  </from>
                  <to>
                    <xdr:col>2</xdr:col>
                    <xdr:colOff>1171575</xdr:colOff>
                    <xdr:row>27</xdr:row>
                    <xdr:rowOff>38100</xdr:rowOff>
                  </to>
                </anchor>
              </controlPr>
            </control>
          </mc:Choice>
        </mc:AlternateContent>
        <mc:AlternateContent xmlns:mc="http://schemas.openxmlformats.org/markup-compatibility/2006">
          <mc:Choice Requires="x14">
            <control shapeId="46082" r:id="rId4" name="Check Box 2">
              <controlPr defaultSize="0" autoFill="0" autoLine="0" autoPict="0">
                <anchor moveWithCells="1">
                  <from>
                    <xdr:col>1</xdr:col>
                    <xdr:colOff>85725</xdr:colOff>
                    <xdr:row>23</xdr:row>
                    <xdr:rowOff>171450</xdr:rowOff>
                  </from>
                  <to>
                    <xdr:col>3</xdr:col>
                    <xdr:colOff>66675</xdr:colOff>
                    <xdr:row>25</xdr:row>
                    <xdr:rowOff>47625</xdr:rowOff>
                  </to>
                </anchor>
              </controlPr>
            </control>
          </mc:Choice>
        </mc:AlternateContent>
        <mc:AlternateContent xmlns:mc="http://schemas.openxmlformats.org/markup-compatibility/2006">
          <mc:Choice Requires="x14">
            <control shapeId="46083" r:id="rId5" name="Check Box 3">
              <controlPr defaultSize="0" autoFill="0" autoLine="0" autoPict="0">
                <anchor moveWithCells="1">
                  <from>
                    <xdr:col>1</xdr:col>
                    <xdr:colOff>85725</xdr:colOff>
                    <xdr:row>25</xdr:row>
                    <xdr:rowOff>28575</xdr:rowOff>
                  </from>
                  <to>
                    <xdr:col>3</xdr:col>
                    <xdr:colOff>66675</xdr:colOff>
                    <xdr:row>26</xdr:row>
                    <xdr:rowOff>9525</xdr:rowOff>
                  </to>
                </anchor>
              </controlPr>
            </control>
          </mc:Choice>
        </mc:AlternateContent>
        <mc:AlternateContent xmlns:mc="http://schemas.openxmlformats.org/markup-compatibility/2006">
          <mc:Choice Requires="x14">
            <control shapeId="46084" r:id="rId6" name="Check Box 4">
              <controlPr defaultSize="0" autoFill="0" autoLine="0" autoPict="0">
                <anchor moveWithCells="1">
                  <from>
                    <xdr:col>1</xdr:col>
                    <xdr:colOff>95250</xdr:colOff>
                    <xdr:row>27</xdr:row>
                    <xdr:rowOff>9525</xdr:rowOff>
                  </from>
                  <to>
                    <xdr:col>2</xdr:col>
                    <xdr:colOff>571500</xdr:colOff>
                    <xdr:row>28</xdr:row>
                    <xdr:rowOff>9525</xdr:rowOff>
                  </to>
                </anchor>
              </controlPr>
            </control>
          </mc:Choice>
        </mc:AlternateContent>
      </controls>
    </mc:Choice>
  </mc:AlternateConten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31751E-DF61-4D0A-BA76-C59E0FB11661}">
  <dimension ref="A1:W48"/>
  <sheetViews>
    <sheetView topLeftCell="A31" workbookViewId="0">
      <selection activeCell="C46" sqref="C46"/>
    </sheetView>
  </sheetViews>
  <sheetFormatPr defaultRowHeight="15" x14ac:dyDescent="0.25"/>
  <cols>
    <col min="1" max="1" width="6" customWidth="1"/>
    <col min="2" max="2" width="33.140625" customWidth="1"/>
    <col min="3" max="3" width="21.5703125" customWidth="1"/>
    <col min="4" max="4" width="25" customWidth="1"/>
    <col min="5" max="5" width="40.28515625" customWidth="1"/>
    <col min="6" max="6" width="28.42578125" customWidth="1"/>
    <col min="7" max="7" width="21.140625" customWidth="1"/>
    <col min="8" max="8" width="13.140625" customWidth="1"/>
    <col min="9" max="9" width="12.140625" customWidth="1"/>
    <col min="10" max="10" width="9.85546875" customWidth="1"/>
    <col min="11" max="11" width="37" customWidth="1"/>
    <col min="12" max="12" width="12" customWidth="1"/>
    <col min="13" max="13" width="11.7109375" customWidth="1"/>
    <col min="14" max="14" width="9.5703125" customWidth="1"/>
    <col min="15" max="15" width="8.140625" customWidth="1"/>
    <col min="16" max="16" width="8"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1187</v>
      </c>
      <c r="E5" s="25" t="s">
        <v>83</v>
      </c>
      <c r="F5" s="20" t="s">
        <v>504</v>
      </c>
      <c r="H5" s="3"/>
      <c r="I5" s="3"/>
      <c r="J5" s="3"/>
    </row>
    <row r="6" spans="1:23" ht="89.25" customHeight="1" x14ac:dyDescent="0.25">
      <c r="B6" s="25" t="s">
        <v>80</v>
      </c>
      <c r="C6" s="201" t="s">
        <v>505</v>
      </c>
      <c r="E6" s="25" t="s">
        <v>84</v>
      </c>
      <c r="F6" s="20" t="s">
        <v>506</v>
      </c>
      <c r="H6" s="3"/>
      <c r="I6" s="3"/>
      <c r="J6" s="3"/>
    </row>
    <row r="7" spans="1:23" ht="19.5" customHeight="1" x14ac:dyDescent="0.25">
      <c r="B7" s="25" t="s">
        <v>81</v>
      </c>
      <c r="C7" s="202">
        <v>12006</v>
      </c>
      <c r="H7" s="3"/>
      <c r="I7" s="3"/>
      <c r="J7" s="3"/>
    </row>
    <row r="8" spans="1:23" ht="90" customHeight="1" x14ac:dyDescent="0.25">
      <c r="B8" s="25" t="s">
        <v>82</v>
      </c>
      <c r="C8" s="202" t="s">
        <v>507</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82.5" x14ac:dyDescent="0.25">
      <c r="B12" s="10" t="s">
        <v>85</v>
      </c>
      <c r="C12" s="28" t="s">
        <v>86</v>
      </c>
      <c r="D12" s="28" t="s">
        <v>87</v>
      </c>
      <c r="E12" s="28" t="s">
        <v>88</v>
      </c>
      <c r="F12" s="3"/>
      <c r="G12" s="3"/>
      <c r="H12" s="3"/>
      <c r="I12" s="3"/>
      <c r="J12" s="3"/>
    </row>
    <row r="13" spans="1:23" ht="324.75" x14ac:dyDescent="0.3">
      <c r="B13" s="30" t="s">
        <v>46</v>
      </c>
      <c r="C13" s="133" t="s">
        <v>508</v>
      </c>
      <c r="D13" s="21"/>
      <c r="E13" s="22" t="s">
        <v>509</v>
      </c>
      <c r="F13" s="9"/>
      <c r="G13" s="3"/>
      <c r="H13" s="3"/>
      <c r="I13" s="3"/>
      <c r="J13" s="9"/>
    </row>
    <row r="14" spans="1:23" ht="176.25" x14ac:dyDescent="0.3">
      <c r="B14" s="30" t="s">
        <v>46</v>
      </c>
      <c r="C14" s="133" t="s">
        <v>510</v>
      </c>
      <c r="D14" s="21"/>
      <c r="E14" s="32" t="s">
        <v>511</v>
      </c>
      <c r="F14" s="9"/>
      <c r="G14" s="3"/>
      <c r="H14" s="3"/>
      <c r="I14" s="3"/>
      <c r="J14" s="9"/>
    </row>
    <row r="15" spans="1:23" ht="162.75" x14ac:dyDescent="0.3">
      <c r="B15" s="30" t="s">
        <v>46</v>
      </c>
      <c r="C15" s="133" t="s">
        <v>512</v>
      </c>
      <c r="D15" s="21"/>
      <c r="E15" s="32" t="s">
        <v>513</v>
      </c>
      <c r="F15" s="9"/>
      <c r="G15" s="3"/>
      <c r="H15" s="3"/>
      <c r="I15" s="3"/>
      <c r="J15" s="9"/>
    </row>
    <row r="16" spans="1:23" ht="17.25" x14ac:dyDescent="0.3">
      <c r="B16" s="11"/>
      <c r="C16" s="11"/>
      <c r="D16" s="11"/>
      <c r="E16" s="11"/>
      <c r="F16" s="3"/>
      <c r="G16" s="3"/>
      <c r="H16" s="3"/>
      <c r="I16" s="3"/>
      <c r="J16" s="9"/>
    </row>
    <row r="17" spans="1:11" ht="17.25" x14ac:dyDescent="0.3">
      <c r="A17" s="7" t="s">
        <v>50</v>
      </c>
      <c r="C17" s="3"/>
      <c r="D17" s="3"/>
      <c r="E17" s="3"/>
      <c r="F17" s="3"/>
      <c r="G17" s="3"/>
      <c r="H17" s="3"/>
      <c r="I17" s="3"/>
      <c r="J17" s="9"/>
    </row>
    <row r="18" spans="1:11" ht="17.25" x14ac:dyDescent="0.3">
      <c r="B18" s="11"/>
      <c r="C18" s="3"/>
      <c r="D18" s="3"/>
      <c r="E18" s="3"/>
      <c r="F18" s="3"/>
      <c r="G18" s="3"/>
      <c r="H18" s="3"/>
      <c r="I18" s="3"/>
      <c r="J18" s="9"/>
    </row>
    <row r="19" spans="1:11" ht="15" customHeight="1" x14ac:dyDescent="0.25">
      <c r="B19" s="365" t="s">
        <v>89</v>
      </c>
      <c r="C19" s="365" t="s">
        <v>90</v>
      </c>
      <c r="D19" s="365" t="s">
        <v>91</v>
      </c>
      <c r="E19" s="365" t="s">
        <v>92</v>
      </c>
      <c r="F19" s="364" t="s">
        <v>93</v>
      </c>
      <c r="G19" s="364"/>
      <c r="H19" s="364"/>
      <c r="I19" s="364"/>
      <c r="J19" s="364"/>
      <c r="K19" s="364" t="s">
        <v>94</v>
      </c>
    </row>
    <row r="20" spans="1:11" x14ac:dyDescent="0.25">
      <c r="B20" s="365"/>
      <c r="C20" s="365"/>
      <c r="D20" s="365"/>
      <c r="E20" s="365"/>
      <c r="F20" s="27" t="s">
        <v>51</v>
      </c>
      <c r="G20" s="27" t="s">
        <v>52</v>
      </c>
      <c r="H20" s="27" t="s">
        <v>0</v>
      </c>
      <c r="I20" s="27" t="s">
        <v>1</v>
      </c>
      <c r="J20" s="27" t="s">
        <v>3</v>
      </c>
      <c r="K20" s="364"/>
    </row>
    <row r="21" spans="1:11" ht="259.5" customHeight="1" x14ac:dyDescent="0.25">
      <c r="B21" s="22" t="s">
        <v>514</v>
      </c>
      <c r="C21" s="31" t="s">
        <v>515</v>
      </c>
      <c r="D21" s="31" t="s">
        <v>47</v>
      </c>
      <c r="E21" s="22" t="s">
        <v>516</v>
      </c>
      <c r="F21" s="203">
        <v>117.8</v>
      </c>
      <c r="G21" s="203"/>
      <c r="H21" s="203"/>
      <c r="I21" s="203"/>
      <c r="J21" s="203"/>
      <c r="K21" s="22" t="s">
        <v>517</v>
      </c>
    </row>
    <row r="22" spans="1:11" x14ac:dyDescent="0.25">
      <c r="B22" s="21"/>
      <c r="C22" s="21"/>
      <c r="D22" s="21"/>
      <c r="E22" s="21"/>
      <c r="F22" s="21"/>
      <c r="G22" s="21"/>
      <c r="H22" s="21"/>
      <c r="I22" s="21"/>
      <c r="J22" s="21"/>
      <c r="K22" s="21"/>
    </row>
    <row r="23" spans="1:11" ht="17.25" x14ac:dyDescent="0.25">
      <c r="B23" s="3"/>
      <c r="C23" s="3"/>
      <c r="D23" s="3"/>
      <c r="E23" s="3"/>
      <c r="F23" s="3"/>
      <c r="G23" s="3"/>
      <c r="H23" s="3"/>
      <c r="I23" s="3"/>
      <c r="J23" s="3"/>
    </row>
    <row r="24" spans="1:11" ht="15.75" x14ac:dyDescent="0.25">
      <c r="A24" s="12" t="s">
        <v>53</v>
      </c>
      <c r="C24" s="13"/>
      <c r="D24" s="13"/>
      <c r="E24" s="13"/>
      <c r="F24" s="13"/>
      <c r="G24" s="13"/>
      <c r="H24" s="13"/>
      <c r="I24" s="13"/>
      <c r="J24" s="13"/>
    </row>
    <row r="25" spans="1:11" x14ac:dyDescent="0.25">
      <c r="A25" s="14"/>
      <c r="C25" s="15"/>
      <c r="D25" s="15"/>
      <c r="E25" s="15"/>
      <c r="F25" s="15"/>
      <c r="G25" s="15"/>
      <c r="H25" s="15"/>
      <c r="I25" s="15"/>
      <c r="J25" s="15"/>
    </row>
    <row r="26" spans="1:11" x14ac:dyDescent="0.25">
      <c r="A26" s="16" t="s">
        <v>54</v>
      </c>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B29" s="17"/>
      <c r="C29" s="17"/>
      <c r="D29" s="17"/>
      <c r="E29" s="13"/>
      <c r="F29" s="13"/>
      <c r="G29" s="13"/>
      <c r="H29" s="13"/>
      <c r="I29" s="13"/>
      <c r="J29" s="13"/>
    </row>
    <row r="30" spans="1:11" x14ac:dyDescent="0.25">
      <c r="B30" s="17"/>
      <c r="C30" s="17"/>
      <c r="D30" s="17"/>
      <c r="E30" s="13"/>
      <c r="F30" s="13"/>
      <c r="G30" s="13"/>
      <c r="H30" s="13"/>
      <c r="I30" s="13"/>
      <c r="J30" s="13"/>
    </row>
    <row r="31" spans="1:11" x14ac:dyDescent="0.25">
      <c r="A31" s="16" t="s">
        <v>55</v>
      </c>
      <c r="E31" s="13"/>
      <c r="F31" s="13"/>
      <c r="G31" s="13"/>
      <c r="H31" s="13"/>
      <c r="I31" s="13"/>
      <c r="J31" s="13"/>
    </row>
    <row r="32" spans="1:11" ht="62.25" customHeight="1" x14ac:dyDescent="0.25">
      <c r="B32" s="360"/>
      <c r="C32" s="361"/>
      <c r="D32" s="361"/>
      <c r="E32" s="362"/>
      <c r="F32" s="13"/>
      <c r="G32" s="13"/>
      <c r="H32" s="13"/>
      <c r="I32" s="13"/>
      <c r="J32" s="13"/>
    </row>
    <row r="33" spans="1:19" ht="17.25" x14ac:dyDescent="0.25">
      <c r="B33" s="3"/>
      <c r="C33" s="3"/>
      <c r="D33" s="3"/>
      <c r="E33" s="13"/>
      <c r="F33" s="13"/>
      <c r="G33" s="13"/>
      <c r="H33" s="13"/>
      <c r="I33" s="13"/>
      <c r="J33" s="13"/>
    </row>
    <row r="34" spans="1:19" x14ac:dyDescent="0.25">
      <c r="A34" s="7" t="s">
        <v>56</v>
      </c>
    </row>
    <row r="36" spans="1:19" ht="64.5" customHeight="1" x14ac:dyDescent="0.25">
      <c r="B36" s="363" t="s">
        <v>95</v>
      </c>
      <c r="C36" s="4" t="s">
        <v>96</v>
      </c>
      <c r="D36" s="4" t="s">
        <v>97</v>
      </c>
      <c r="E36" s="358" t="s">
        <v>98</v>
      </c>
      <c r="F36" s="358"/>
      <c r="G36" s="358"/>
      <c r="H36" s="358" t="s">
        <v>99</v>
      </c>
      <c r="I36" s="358"/>
      <c r="J36" s="358"/>
      <c r="K36" s="358" t="s">
        <v>100</v>
      </c>
      <c r="L36" s="358"/>
      <c r="M36" s="358"/>
      <c r="N36" s="358" t="s">
        <v>101</v>
      </c>
      <c r="O36" s="358"/>
      <c r="P36" s="358"/>
      <c r="Q36" s="359" t="s">
        <v>102</v>
      </c>
      <c r="R36" s="359"/>
      <c r="S36" s="359"/>
    </row>
    <row r="37" spans="1:19" ht="30" customHeight="1" x14ac:dyDescent="0.25">
      <c r="B37" s="363"/>
      <c r="C37" s="4" t="s">
        <v>35</v>
      </c>
      <c r="D37" s="4" t="s">
        <v>36</v>
      </c>
      <c r="E37" s="19" t="s">
        <v>0</v>
      </c>
      <c r="F37" s="19" t="s">
        <v>1</v>
      </c>
      <c r="G37" s="19" t="s">
        <v>3</v>
      </c>
      <c r="H37" s="19" t="s">
        <v>0</v>
      </c>
      <c r="I37" s="19" t="s">
        <v>1</v>
      </c>
      <c r="J37" s="19" t="s">
        <v>3</v>
      </c>
      <c r="K37" s="19" t="s">
        <v>39</v>
      </c>
      <c r="L37" s="19" t="s">
        <v>38</v>
      </c>
      <c r="M37" s="19" t="s">
        <v>37</v>
      </c>
      <c r="N37" s="19" t="s">
        <v>39</v>
      </c>
      <c r="O37" s="19" t="s">
        <v>38</v>
      </c>
      <c r="P37" s="19" t="s">
        <v>37</v>
      </c>
      <c r="Q37" s="26" t="s">
        <v>0</v>
      </c>
      <c r="R37" s="26" t="s">
        <v>1</v>
      </c>
      <c r="S37" s="26" t="s">
        <v>3</v>
      </c>
    </row>
    <row r="38" spans="1:19" ht="40.5" x14ac:dyDescent="0.25">
      <c r="B38" s="22" t="s">
        <v>312</v>
      </c>
      <c r="C38" s="204">
        <f>25073.847+0.05</f>
        <v>25073.897000000001</v>
      </c>
      <c r="D38" s="204">
        <v>20845.5</v>
      </c>
      <c r="E38" s="205"/>
      <c r="F38" s="205"/>
      <c r="G38" s="205"/>
      <c r="H38" s="205">
        <v>-11262.816999999999</v>
      </c>
      <c r="I38" s="205">
        <v>-18210.286</v>
      </c>
      <c r="J38" s="205">
        <v>-20541.683000000001</v>
      </c>
      <c r="K38" s="176">
        <f>C38+E38+H38</f>
        <v>13811.080000000002</v>
      </c>
      <c r="L38" s="176">
        <f>C38+F38+I38</f>
        <v>6863.6110000000008</v>
      </c>
      <c r="M38" s="176">
        <f>C38+G38+J38</f>
        <v>4532.2139999999999</v>
      </c>
      <c r="N38" s="23"/>
      <c r="O38" s="23"/>
      <c r="P38" s="23"/>
      <c r="Q38" s="177">
        <f>K38+N38</f>
        <v>13811.080000000002</v>
      </c>
      <c r="R38" s="177">
        <f>L38+O38</f>
        <v>6863.6110000000008</v>
      </c>
      <c r="S38" s="177">
        <f>M38+P38</f>
        <v>4532.2139999999999</v>
      </c>
    </row>
    <row r="39" spans="1:19" x14ac:dyDescent="0.25">
      <c r="B39" s="22"/>
      <c r="C39" s="22"/>
      <c r="D39" s="22"/>
      <c r="E39" s="23"/>
      <c r="F39" s="23"/>
      <c r="G39" s="23"/>
      <c r="H39" s="23"/>
      <c r="I39" s="23"/>
      <c r="J39" s="23"/>
      <c r="K39" s="176">
        <f>C39+E39+H39</f>
        <v>0</v>
      </c>
      <c r="L39" s="176">
        <f t="shared" ref="K39:M41" si="0">D39+F39+I39</f>
        <v>0</v>
      </c>
      <c r="M39" s="176">
        <f t="shared" si="0"/>
        <v>0</v>
      </c>
      <c r="N39" s="23"/>
      <c r="O39" s="23"/>
      <c r="P39" s="23"/>
      <c r="Q39" s="26">
        <f t="shared" ref="Q39:S41" si="1">K39+N39</f>
        <v>0</v>
      </c>
      <c r="R39" s="26">
        <f t="shared" si="1"/>
        <v>0</v>
      </c>
      <c r="S39" s="26">
        <f t="shared" si="1"/>
        <v>0</v>
      </c>
    </row>
    <row r="40" spans="1:19" x14ac:dyDescent="0.25">
      <c r="B40" s="22"/>
      <c r="C40" s="22"/>
      <c r="D40" s="22"/>
      <c r="E40" s="23"/>
      <c r="F40" s="23"/>
      <c r="G40" s="23"/>
      <c r="H40" s="23"/>
      <c r="I40" s="23"/>
      <c r="J40" s="23"/>
      <c r="K40" s="176">
        <f t="shared" si="0"/>
        <v>0</v>
      </c>
      <c r="L40" s="176">
        <f t="shared" si="0"/>
        <v>0</v>
      </c>
      <c r="M40" s="176">
        <f t="shared" si="0"/>
        <v>0</v>
      </c>
      <c r="N40" s="23"/>
      <c r="O40" s="23"/>
      <c r="P40" s="23"/>
      <c r="Q40" s="26">
        <f t="shared" si="1"/>
        <v>0</v>
      </c>
      <c r="R40" s="26">
        <f t="shared" si="1"/>
        <v>0</v>
      </c>
      <c r="S40" s="26">
        <f t="shared" si="1"/>
        <v>0</v>
      </c>
    </row>
    <row r="41" spans="1:19" x14ac:dyDescent="0.25">
      <c r="B41" s="22"/>
      <c r="C41" s="22"/>
      <c r="D41" s="22"/>
      <c r="E41" s="23"/>
      <c r="F41" s="23"/>
      <c r="G41" s="23"/>
      <c r="H41" s="23"/>
      <c r="I41" s="23"/>
      <c r="J41" s="23"/>
      <c r="K41" s="176">
        <f t="shared" si="0"/>
        <v>0</v>
      </c>
      <c r="L41" s="176">
        <f t="shared" si="0"/>
        <v>0</v>
      </c>
      <c r="M41" s="176">
        <f t="shared" si="0"/>
        <v>0</v>
      </c>
      <c r="N41" s="23"/>
      <c r="O41" s="23"/>
      <c r="P41" s="23"/>
      <c r="Q41" s="26">
        <f t="shared" si="1"/>
        <v>0</v>
      </c>
      <c r="R41" s="26">
        <f t="shared" si="1"/>
        <v>0</v>
      </c>
      <c r="S41" s="26">
        <f t="shared" si="1"/>
        <v>0</v>
      </c>
    </row>
    <row r="42" spans="1:19" ht="28.5" x14ac:dyDescent="0.25">
      <c r="B42" s="18" t="s">
        <v>73</v>
      </c>
      <c r="C42" s="204">
        <v>25073.847000000002</v>
      </c>
      <c r="D42" s="204">
        <v>20845.5</v>
      </c>
      <c r="E42" s="19">
        <f>SUM(E38:E41)</f>
        <v>0</v>
      </c>
      <c r="F42" s="19">
        <f>SUM(F38:F41)</f>
        <v>0</v>
      </c>
      <c r="G42" s="19">
        <f t="shared" ref="G42" si="2">SUM(G38:G41)</f>
        <v>0</v>
      </c>
      <c r="H42" s="176">
        <f>SUM(H38:H41)</f>
        <v>-11262.816999999999</v>
      </c>
      <c r="I42" s="176">
        <f>SUM(I38:I41)</f>
        <v>-18210.286</v>
      </c>
      <c r="J42" s="176">
        <f>SUM(J38:J41)</f>
        <v>-20541.683000000001</v>
      </c>
      <c r="K42" s="176">
        <f>C42+E42+H42</f>
        <v>13811.030000000002</v>
      </c>
      <c r="L42" s="176">
        <f>C42+F42+I42</f>
        <v>6863.5610000000015</v>
      </c>
      <c r="M42" s="176">
        <f>C42+G42+J42</f>
        <v>4532.1640000000007</v>
      </c>
      <c r="N42" s="4" t="s">
        <v>2</v>
      </c>
      <c r="O42" s="4" t="s">
        <v>2</v>
      </c>
      <c r="P42" s="4" t="s">
        <v>2</v>
      </c>
      <c r="Q42" s="26" t="s">
        <v>2</v>
      </c>
      <c r="R42" s="26" t="s">
        <v>2</v>
      </c>
      <c r="S42" s="26" t="s">
        <v>2</v>
      </c>
    </row>
    <row r="43" spans="1:19" ht="28.5" x14ac:dyDescent="0.25">
      <c r="B43" s="18" t="s">
        <v>60</v>
      </c>
      <c r="C43" s="22"/>
      <c r="D43" s="22"/>
      <c r="E43" s="19" t="s">
        <v>72</v>
      </c>
      <c r="F43" s="19" t="s">
        <v>72</v>
      </c>
      <c r="G43" s="19" t="s">
        <v>72</v>
      </c>
      <c r="H43" s="19" t="s">
        <v>72</v>
      </c>
      <c r="I43" s="19" t="s">
        <v>72</v>
      </c>
      <c r="J43" s="19" t="s">
        <v>72</v>
      </c>
      <c r="K43" s="176">
        <f>C43</f>
        <v>0</v>
      </c>
      <c r="L43" s="176">
        <f>C43</f>
        <v>0</v>
      </c>
      <c r="M43" s="176">
        <f>C43</f>
        <v>0</v>
      </c>
      <c r="N43" s="4" t="s">
        <v>2</v>
      </c>
      <c r="O43" s="4" t="s">
        <v>2</v>
      </c>
      <c r="P43" s="4" t="s">
        <v>2</v>
      </c>
      <c r="Q43" s="26" t="s">
        <v>2</v>
      </c>
      <c r="R43" s="26" t="s">
        <v>2</v>
      </c>
      <c r="S43" s="26" t="s">
        <v>2</v>
      </c>
    </row>
    <row r="44" spans="1:19" s="199" customFormat="1" x14ac:dyDescent="0.25">
      <c r="B44" s="246" t="s">
        <v>698</v>
      </c>
      <c r="C44" s="294">
        <f>SUM(C38:C41)</f>
        <v>25073.897000000001</v>
      </c>
      <c r="D44" s="294">
        <f>SUM(D38:D41)</f>
        <v>20845.5</v>
      </c>
      <c r="E44" s="255">
        <f>E42</f>
        <v>0</v>
      </c>
      <c r="F44" s="255">
        <f t="shared" ref="F44:J44" si="3">F42</f>
        <v>0</v>
      </c>
      <c r="G44" s="255">
        <f t="shared" si="3"/>
        <v>0</v>
      </c>
      <c r="H44" s="294">
        <f t="shared" si="3"/>
        <v>-11262.816999999999</v>
      </c>
      <c r="I44" s="294">
        <f t="shared" si="3"/>
        <v>-18210.286</v>
      </c>
      <c r="J44" s="294">
        <f t="shared" si="3"/>
        <v>-20541.683000000001</v>
      </c>
      <c r="K44" s="296">
        <f>K42+K43</f>
        <v>13811.030000000002</v>
      </c>
      <c r="L44" s="296">
        <f t="shared" ref="L44:M44" si="4">L42+L43</f>
        <v>6863.5610000000015</v>
      </c>
      <c r="M44" s="296">
        <f t="shared" si="4"/>
        <v>4532.1640000000007</v>
      </c>
      <c r="N44" s="256">
        <f>SUM(N38:N41)</f>
        <v>0</v>
      </c>
      <c r="O44" s="256">
        <f t="shared" ref="O44:P44" si="5">SUM(O38:O41)</f>
        <v>0</v>
      </c>
      <c r="P44" s="256">
        <f t="shared" si="5"/>
        <v>0</v>
      </c>
      <c r="Q44" s="276">
        <f>K44+N44</f>
        <v>13811.030000000002</v>
      </c>
      <c r="R44" s="276">
        <f>L44+O44</f>
        <v>6863.5610000000015</v>
      </c>
      <c r="S44" s="276">
        <f>M44+P44</f>
        <v>4532.1640000000007</v>
      </c>
    </row>
    <row r="46" spans="1:19" x14ac:dyDescent="0.25">
      <c r="C46" s="301">
        <v>22294216</v>
      </c>
    </row>
    <row r="47" spans="1:19" x14ac:dyDescent="0.25">
      <c r="C47" s="180"/>
    </row>
    <row r="48" spans="1:19" x14ac:dyDescent="0.25">
      <c r="C48" s="180"/>
    </row>
  </sheetData>
  <mergeCells count="13">
    <mergeCell ref="Q36:S36"/>
    <mergeCell ref="B32:E32"/>
    <mergeCell ref="B36:B37"/>
    <mergeCell ref="E36:G36"/>
    <mergeCell ref="H36:J36"/>
    <mergeCell ref="K36:M36"/>
    <mergeCell ref="N36:P36"/>
    <mergeCell ref="K19:K20"/>
    <mergeCell ref="B19:B20"/>
    <mergeCell ref="C19:C20"/>
    <mergeCell ref="D19:D20"/>
    <mergeCell ref="E19:E20"/>
    <mergeCell ref="F19:J19"/>
  </mergeCells>
  <dataValidations count="4">
    <dataValidation type="custom" allowBlank="1" showInputMessage="1" showErrorMessage="1" sqref="N38:P41" xr:uid="{779CBF92-619C-4603-BCE8-B102CC31D985}">
      <formula1>"-"</formula1>
    </dataValidation>
    <dataValidation type="list" allowBlank="1" showInputMessage="1" showErrorMessage="1" sqref="B13:B15" xr:uid="{9E2651F2-4F39-4F4B-819F-BB91AFA12F7A}">
      <formula1>$U$2:$U$4</formula1>
    </dataValidation>
    <dataValidation type="list" allowBlank="1" showInputMessage="1" showErrorMessage="1" sqref="D21:D22" xr:uid="{BFDB799E-DD11-4B91-AE43-25F18CB8E242}">
      <formula1>$V$2:$V$3</formula1>
    </dataValidation>
    <dataValidation showInputMessage="1" showErrorMessage="1" sqref="E21:E22" xr:uid="{24602023-FEF3-4386-8446-AABECB640287}"/>
  </dataValidations>
  <hyperlinks>
    <hyperlink ref="C12" location="_ftn1" display="_ftn1" xr:uid="{C2864E6B-5AA9-4BFE-ACB9-E44D7D538A73}"/>
    <hyperlink ref="D12" location="_ftn2" display="_ftn2" xr:uid="{F2294650-F607-4758-BEE2-FBD0B8AAFC12}"/>
    <hyperlink ref="E12" location="_ftn3" display="_ftn3" xr:uid="{6A198B7D-D47F-46F4-A09C-FE931FD72027}"/>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5841" r:id="rId3" name="Check Box 1">
              <controlPr defaultSize="0" autoFill="0" autoLine="0" autoPict="0">
                <anchor moveWithCells="1">
                  <from>
                    <xdr:col>1</xdr:col>
                    <xdr:colOff>85725</xdr:colOff>
                    <xdr:row>28</xdr:row>
                    <xdr:rowOff>0</xdr:rowOff>
                  </from>
                  <to>
                    <xdr:col>2</xdr:col>
                    <xdr:colOff>1171575</xdr:colOff>
                    <xdr:row>29</xdr:row>
                    <xdr:rowOff>38100</xdr:rowOff>
                  </to>
                </anchor>
              </controlPr>
            </control>
          </mc:Choice>
        </mc:AlternateContent>
        <mc:AlternateContent xmlns:mc="http://schemas.openxmlformats.org/markup-compatibility/2006">
          <mc:Choice Requires="x14">
            <control shapeId="35842" r:id="rId4" name="Check Box 2">
              <controlPr defaultSize="0" autoFill="0" autoLine="0" autoPict="0">
                <anchor moveWithCells="1">
                  <from>
                    <xdr:col>1</xdr:col>
                    <xdr:colOff>85725</xdr:colOff>
                    <xdr:row>25</xdr:row>
                    <xdr:rowOff>171450</xdr:rowOff>
                  </from>
                  <to>
                    <xdr:col>3</xdr:col>
                    <xdr:colOff>485775</xdr:colOff>
                    <xdr:row>27</xdr:row>
                    <xdr:rowOff>47625</xdr:rowOff>
                  </to>
                </anchor>
              </controlPr>
            </control>
          </mc:Choice>
        </mc:AlternateContent>
        <mc:AlternateContent xmlns:mc="http://schemas.openxmlformats.org/markup-compatibility/2006">
          <mc:Choice Requires="x14">
            <control shapeId="35843" r:id="rId5" name="Check Box 3">
              <controlPr defaultSize="0" autoFill="0" autoLine="0" autoPict="0">
                <anchor moveWithCells="1">
                  <from>
                    <xdr:col>1</xdr:col>
                    <xdr:colOff>85725</xdr:colOff>
                    <xdr:row>27</xdr:row>
                    <xdr:rowOff>28575</xdr:rowOff>
                  </from>
                  <to>
                    <xdr:col>3</xdr:col>
                    <xdr:colOff>485775</xdr:colOff>
                    <xdr:row>28</xdr:row>
                    <xdr:rowOff>9525</xdr:rowOff>
                  </to>
                </anchor>
              </controlPr>
            </control>
          </mc:Choice>
        </mc:AlternateContent>
        <mc:AlternateContent xmlns:mc="http://schemas.openxmlformats.org/markup-compatibility/2006">
          <mc:Choice Requires="x14">
            <control shapeId="35844" r:id="rId6" name="Check Box 4">
              <controlPr defaultSize="0" autoFill="0" autoLine="0" autoPict="0">
                <anchor moveWithCells="1">
                  <from>
                    <xdr:col>1</xdr:col>
                    <xdr:colOff>95250</xdr:colOff>
                    <xdr:row>29</xdr:row>
                    <xdr:rowOff>9525</xdr:rowOff>
                  </from>
                  <to>
                    <xdr:col>2</xdr:col>
                    <xdr:colOff>571500</xdr:colOff>
                    <xdr:row>30</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2FBE3-1F3C-4BDC-A16B-807DFAA9B8E0}">
  <sheetPr>
    <tabColor rgb="FF92D050"/>
  </sheetPr>
  <dimension ref="A1:W42"/>
  <sheetViews>
    <sheetView topLeftCell="A31" zoomScale="91" zoomScaleNormal="91" workbookViewId="0">
      <selection activeCell="E13" sqref="E13"/>
    </sheetView>
  </sheetViews>
  <sheetFormatPr defaultRowHeight="15" x14ac:dyDescent="0.25"/>
  <cols>
    <col min="1" max="1" width="6" customWidth="1"/>
    <col min="2" max="2" width="35.5703125" customWidth="1"/>
    <col min="3" max="3" width="33.140625" customWidth="1"/>
    <col min="4" max="4" width="19.42578125" customWidth="1"/>
    <col min="5" max="5" width="25.28515625" customWidth="1"/>
    <col min="6" max="6" width="16.140625" customWidth="1"/>
    <col min="7" max="7" width="15" customWidth="1"/>
    <col min="8" max="8" width="13.42578125" customWidth="1"/>
    <col min="9" max="9" width="10.42578125" customWidth="1"/>
    <col min="10" max="10" width="15.28515625" customWidth="1"/>
    <col min="11" max="11" width="34.7109375" customWidth="1"/>
    <col min="12" max="12" width="8.7109375" customWidth="1"/>
    <col min="13" max="13" width="8" customWidth="1"/>
    <col min="14" max="14" width="9.5703125" customWidth="1"/>
    <col min="15" max="15" width="8.140625" customWidth="1"/>
    <col min="16" max="16" width="8" customWidth="1"/>
    <col min="21" max="23" width="0"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45.6" customHeight="1" x14ac:dyDescent="0.25">
      <c r="B5" s="25" t="s">
        <v>79</v>
      </c>
      <c r="C5" s="29" t="s">
        <v>675</v>
      </c>
      <c r="E5" s="25" t="s">
        <v>83</v>
      </c>
      <c r="F5" s="20">
        <v>2022</v>
      </c>
      <c r="H5" s="3"/>
      <c r="I5" s="3"/>
      <c r="J5" s="3"/>
    </row>
    <row r="6" spans="1:23" ht="31.15" customHeight="1" x14ac:dyDescent="0.25">
      <c r="B6" s="25" t="s">
        <v>80</v>
      </c>
      <c r="C6" s="29" t="s">
        <v>685</v>
      </c>
      <c r="E6" s="25" t="s">
        <v>84</v>
      </c>
      <c r="F6" s="20">
        <v>2024</v>
      </c>
      <c r="H6" s="3"/>
      <c r="I6" s="3"/>
      <c r="J6" s="3"/>
    </row>
    <row r="7" spans="1:23" ht="35.450000000000003" customHeight="1" x14ac:dyDescent="0.25">
      <c r="B7" s="25" t="s">
        <v>81</v>
      </c>
      <c r="C7" s="29" t="s">
        <v>677</v>
      </c>
      <c r="H7" s="3"/>
      <c r="I7" s="3"/>
      <c r="J7" s="3"/>
    </row>
    <row r="8" spans="1:23" ht="18" customHeight="1" x14ac:dyDescent="0.25">
      <c r="B8" s="25" t="s">
        <v>82</v>
      </c>
      <c r="C8" s="20"/>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96" x14ac:dyDescent="0.25">
      <c r="B12" s="10" t="s">
        <v>85</v>
      </c>
      <c r="C12" s="28" t="s">
        <v>86</v>
      </c>
      <c r="D12" s="28" t="s">
        <v>87</v>
      </c>
      <c r="E12" s="28" t="s">
        <v>88</v>
      </c>
      <c r="F12" s="3"/>
      <c r="G12" s="3"/>
      <c r="H12" s="3"/>
      <c r="I12" s="3"/>
      <c r="J12" s="3"/>
    </row>
    <row r="13" spans="1:23" ht="336.6" customHeight="1" x14ac:dyDescent="0.3">
      <c r="B13" s="131" t="s">
        <v>48</v>
      </c>
      <c r="C13" s="132" t="s">
        <v>686</v>
      </c>
      <c r="D13" s="21"/>
      <c r="E13" s="132" t="s">
        <v>687</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15" customHeight="1" x14ac:dyDescent="0.25">
      <c r="B17" s="365" t="s">
        <v>89</v>
      </c>
      <c r="C17" s="365" t="s">
        <v>90</v>
      </c>
      <c r="D17" s="365" t="s">
        <v>91</v>
      </c>
      <c r="E17" s="365" t="s">
        <v>92</v>
      </c>
      <c r="F17" s="364" t="s">
        <v>93</v>
      </c>
      <c r="G17" s="364"/>
      <c r="H17" s="364"/>
      <c r="I17" s="364"/>
      <c r="J17" s="364"/>
      <c r="K17" s="364" t="s">
        <v>94</v>
      </c>
    </row>
    <row r="18" spans="1:11" ht="27" x14ac:dyDescent="0.25">
      <c r="B18" s="365"/>
      <c r="C18" s="365"/>
      <c r="D18" s="365"/>
      <c r="E18" s="365"/>
      <c r="F18" s="27" t="s">
        <v>51</v>
      </c>
      <c r="G18" s="27" t="s">
        <v>52</v>
      </c>
      <c r="H18" s="27" t="s">
        <v>0</v>
      </c>
      <c r="I18" s="27" t="s">
        <v>1</v>
      </c>
      <c r="J18" s="27" t="s">
        <v>3</v>
      </c>
      <c r="K18" s="364"/>
    </row>
    <row r="19" spans="1:11" ht="109.9" customHeight="1" x14ac:dyDescent="0.25">
      <c r="B19" s="22" t="s">
        <v>688</v>
      </c>
      <c r="C19" s="22" t="s">
        <v>681</v>
      </c>
      <c r="D19" s="22" t="s">
        <v>47</v>
      </c>
      <c r="E19" s="30" t="s">
        <v>341</v>
      </c>
      <c r="F19" s="31"/>
      <c r="G19" s="31">
        <v>65</v>
      </c>
      <c r="H19" s="31">
        <v>135</v>
      </c>
      <c r="I19" s="31"/>
      <c r="J19" s="31"/>
      <c r="K19" s="132" t="s">
        <v>689</v>
      </c>
    </row>
    <row r="20" spans="1:11" ht="148.15" customHeight="1" x14ac:dyDescent="0.25">
      <c r="B20" s="22" t="s">
        <v>690</v>
      </c>
      <c r="C20" s="22" t="s">
        <v>681</v>
      </c>
      <c r="D20" s="22" t="s">
        <v>47</v>
      </c>
      <c r="E20" s="30" t="s">
        <v>341</v>
      </c>
      <c r="F20" s="21"/>
      <c r="G20" s="31">
        <v>130</v>
      </c>
      <c r="H20" s="31">
        <v>670</v>
      </c>
      <c r="I20" s="31"/>
      <c r="J20" s="31"/>
      <c r="K20" s="132" t="s">
        <v>691</v>
      </c>
    </row>
    <row r="21" spans="1:11" ht="17.25" x14ac:dyDescent="0.25">
      <c r="B21" s="3"/>
      <c r="C21" s="3"/>
      <c r="D21" s="3"/>
      <c r="E21" s="3"/>
      <c r="F21" s="3"/>
      <c r="G21" s="3"/>
      <c r="H21" s="3"/>
      <c r="I21" s="3"/>
      <c r="J21" s="3"/>
    </row>
    <row r="22" spans="1:11" ht="15.75" x14ac:dyDescent="0.25">
      <c r="A22" s="12" t="s">
        <v>53</v>
      </c>
      <c r="C22" s="13"/>
      <c r="D22" s="13"/>
      <c r="E22" s="13"/>
      <c r="F22" s="13"/>
      <c r="G22" s="13"/>
      <c r="H22" s="13"/>
      <c r="I22" s="13"/>
      <c r="J22" s="13"/>
    </row>
    <row r="23" spans="1:11" x14ac:dyDescent="0.25">
      <c r="A23" s="14"/>
      <c r="C23" s="15"/>
      <c r="D23" s="15"/>
      <c r="E23" s="15"/>
      <c r="F23" s="15"/>
      <c r="G23" s="15"/>
      <c r="H23" s="15"/>
      <c r="I23" s="15"/>
      <c r="J23" s="15"/>
    </row>
    <row r="24" spans="1:11" x14ac:dyDescent="0.25">
      <c r="A24" s="16" t="s">
        <v>54</v>
      </c>
      <c r="C24" s="17"/>
      <c r="D24" s="17"/>
      <c r="E24" s="13"/>
      <c r="F24" s="13"/>
      <c r="G24" s="13"/>
      <c r="H24" s="13"/>
      <c r="I24" s="13"/>
      <c r="J24" s="13"/>
    </row>
    <row r="25" spans="1:11" x14ac:dyDescent="0.25">
      <c r="B25" s="17"/>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A29" s="16" t="s">
        <v>55</v>
      </c>
      <c r="E29" s="13"/>
      <c r="F29" s="13"/>
      <c r="G29" s="13"/>
      <c r="H29" s="13"/>
      <c r="I29" s="13"/>
      <c r="J29" s="13"/>
    </row>
    <row r="30" spans="1:11" ht="46.15" customHeight="1" x14ac:dyDescent="0.25">
      <c r="B30" s="360"/>
      <c r="C30" s="361"/>
      <c r="D30" s="361"/>
      <c r="E30" s="362"/>
      <c r="F30" s="13"/>
      <c r="G30" s="13"/>
      <c r="H30" s="13"/>
      <c r="I30" s="13"/>
      <c r="J30" s="13"/>
    </row>
    <row r="31" spans="1:11" ht="17.25" x14ac:dyDescent="0.25">
      <c r="B31" s="3"/>
      <c r="C31" s="3"/>
      <c r="D31" s="3"/>
      <c r="E31" s="13"/>
      <c r="F31" s="13"/>
      <c r="G31" s="13"/>
      <c r="H31" s="13"/>
      <c r="I31" s="13"/>
      <c r="J31" s="13"/>
    </row>
    <row r="32" spans="1:11" x14ac:dyDescent="0.25">
      <c r="A32" s="7" t="s">
        <v>56</v>
      </c>
    </row>
    <row r="34" spans="2:19" ht="54.75" customHeight="1" x14ac:dyDescent="0.25">
      <c r="B34" s="363" t="s">
        <v>95</v>
      </c>
      <c r="C34" s="4" t="s">
        <v>96</v>
      </c>
      <c r="D34" s="4" t="s">
        <v>97</v>
      </c>
      <c r="E34" s="358" t="s">
        <v>98</v>
      </c>
      <c r="F34" s="358"/>
      <c r="G34" s="358"/>
      <c r="H34" s="358" t="s">
        <v>99</v>
      </c>
      <c r="I34" s="358"/>
      <c r="J34" s="358"/>
      <c r="K34" s="358" t="s">
        <v>100</v>
      </c>
      <c r="L34" s="358"/>
      <c r="M34" s="358"/>
      <c r="N34" s="358" t="s">
        <v>101</v>
      </c>
      <c r="O34" s="358"/>
      <c r="P34" s="358"/>
      <c r="Q34" s="359" t="s">
        <v>102</v>
      </c>
      <c r="R34" s="359"/>
      <c r="S34" s="359"/>
    </row>
    <row r="35" spans="2:19" ht="27.75" customHeight="1" x14ac:dyDescent="0.25">
      <c r="B35" s="363"/>
      <c r="C35" s="4" t="s">
        <v>35</v>
      </c>
      <c r="D35" s="4" t="s">
        <v>36</v>
      </c>
      <c r="E35" s="19" t="s">
        <v>0</v>
      </c>
      <c r="F35" s="19" t="s">
        <v>1</v>
      </c>
      <c r="G35" s="19" t="s">
        <v>3</v>
      </c>
      <c r="H35" s="19" t="s">
        <v>0</v>
      </c>
      <c r="I35" s="19" t="s">
        <v>1</v>
      </c>
      <c r="J35" s="19" t="s">
        <v>3</v>
      </c>
      <c r="K35" s="19" t="s">
        <v>39</v>
      </c>
      <c r="L35" s="19" t="s">
        <v>38</v>
      </c>
      <c r="M35" s="19" t="s">
        <v>37</v>
      </c>
      <c r="N35" s="19" t="s">
        <v>39</v>
      </c>
      <c r="O35" s="19" t="s">
        <v>38</v>
      </c>
      <c r="P35" s="19" t="s">
        <v>37</v>
      </c>
      <c r="Q35" s="26" t="s">
        <v>0</v>
      </c>
      <c r="R35" s="26" t="s">
        <v>1</v>
      </c>
      <c r="S35" s="26" t="s">
        <v>3</v>
      </c>
    </row>
    <row r="36" spans="2:19" ht="36.75" customHeight="1" x14ac:dyDescent="0.25">
      <c r="B36" s="22" t="s">
        <v>692</v>
      </c>
      <c r="C36" s="22"/>
      <c r="D36" s="257">
        <v>162500</v>
      </c>
      <c r="E36" s="51"/>
      <c r="F36" s="93"/>
      <c r="G36" s="93"/>
      <c r="H36" s="258">
        <v>175000</v>
      </c>
      <c r="I36" s="93"/>
      <c r="J36" s="93"/>
      <c r="K36" s="259">
        <f>D36+E36+H36</f>
        <v>337500</v>
      </c>
      <c r="L36" s="19">
        <f>C36+F36+I36</f>
        <v>0</v>
      </c>
      <c r="M36" s="19">
        <f>C36+G36+J36</f>
        <v>0</v>
      </c>
      <c r="N36" s="23"/>
      <c r="O36" s="23"/>
      <c r="P36" s="23"/>
      <c r="Q36" s="240">
        <f>K36+N36</f>
        <v>337500</v>
      </c>
      <c r="R36" s="26">
        <f>L36+O36</f>
        <v>0</v>
      </c>
      <c r="S36" s="26">
        <f>M36+P36</f>
        <v>0</v>
      </c>
    </row>
    <row r="37" spans="2:19" ht="30.75" customHeight="1" x14ac:dyDescent="0.25">
      <c r="B37" s="22" t="s">
        <v>693</v>
      </c>
      <c r="C37" s="22"/>
      <c r="D37" s="257">
        <v>17500</v>
      </c>
      <c r="E37" s="93"/>
      <c r="F37" s="93"/>
      <c r="G37" s="93"/>
      <c r="H37" s="258">
        <v>72692</v>
      </c>
      <c r="I37" s="93"/>
      <c r="J37" s="93"/>
      <c r="K37" s="259">
        <f>D37+E37+H37</f>
        <v>90192</v>
      </c>
      <c r="L37" s="19">
        <f>C37+F37+I37</f>
        <v>0</v>
      </c>
      <c r="M37" s="19">
        <f t="shared" ref="K37:M39" si="0">E37+G37+J37</f>
        <v>0</v>
      </c>
      <c r="N37" s="23"/>
      <c r="O37" s="23"/>
      <c r="P37" s="23"/>
      <c r="Q37" s="240">
        <f t="shared" ref="Q37:S39" si="1">K37+N37</f>
        <v>90192</v>
      </c>
      <c r="R37" s="26">
        <f t="shared" si="1"/>
        <v>0</v>
      </c>
      <c r="S37" s="26">
        <f t="shared" si="1"/>
        <v>0</v>
      </c>
    </row>
    <row r="38" spans="2:19" ht="24" customHeight="1" x14ac:dyDescent="0.25">
      <c r="B38" s="22" t="s">
        <v>694</v>
      </c>
      <c r="C38" s="22"/>
      <c r="D38" s="257">
        <v>170000</v>
      </c>
      <c r="E38" s="93"/>
      <c r="F38" s="93"/>
      <c r="G38" s="93"/>
      <c r="H38" s="258">
        <v>-76421.600000000006</v>
      </c>
      <c r="I38" s="93"/>
      <c r="J38" s="93"/>
      <c r="K38" s="259">
        <f>D38+E38+H38</f>
        <v>93578.4</v>
      </c>
      <c r="L38" s="19"/>
      <c r="M38" s="19"/>
      <c r="N38" s="23"/>
      <c r="O38" s="23"/>
      <c r="P38" s="23"/>
      <c r="Q38" s="26"/>
      <c r="R38" s="26"/>
      <c r="S38" s="26"/>
    </row>
    <row r="39" spans="2:19" ht="29.25" customHeight="1" x14ac:dyDescent="0.25">
      <c r="B39" s="22"/>
      <c r="C39" s="22"/>
      <c r="D39" s="257"/>
      <c r="E39" s="93"/>
      <c r="F39" s="93"/>
      <c r="G39" s="93"/>
      <c r="H39" s="258"/>
      <c r="I39" s="93"/>
      <c r="J39" s="93"/>
      <c r="K39" s="259">
        <f t="shared" si="0"/>
        <v>0</v>
      </c>
      <c r="L39" s="19">
        <f t="shared" si="0"/>
        <v>0</v>
      </c>
      <c r="M39" s="19">
        <f t="shared" si="0"/>
        <v>0</v>
      </c>
      <c r="N39" s="23"/>
      <c r="O39" s="23"/>
      <c r="P39" s="23"/>
      <c r="Q39" s="26">
        <f t="shared" si="1"/>
        <v>0</v>
      </c>
      <c r="R39" s="26">
        <f t="shared" si="1"/>
        <v>0</v>
      </c>
      <c r="S39" s="26">
        <f t="shared" si="1"/>
        <v>0</v>
      </c>
    </row>
    <row r="40" spans="2:19" ht="36" customHeight="1" x14ac:dyDescent="0.25">
      <c r="B40" s="18" t="s">
        <v>73</v>
      </c>
      <c r="C40" s="22"/>
      <c r="D40" s="257">
        <f>+D36+D37+D38+D39</f>
        <v>350000</v>
      </c>
      <c r="E40" s="52">
        <f t="shared" ref="E40:J40" si="2">SUM(E36:E39)</f>
        <v>0</v>
      </c>
      <c r="F40" s="52">
        <f t="shared" si="2"/>
        <v>0</v>
      </c>
      <c r="G40" s="52">
        <f t="shared" si="2"/>
        <v>0</v>
      </c>
      <c r="H40" s="52">
        <f>SUM(H36:H39)</f>
        <v>171270.39999999999</v>
      </c>
      <c r="I40" s="52">
        <f t="shared" si="2"/>
        <v>0</v>
      </c>
      <c r="J40" s="52">
        <f t="shared" si="2"/>
        <v>0</v>
      </c>
      <c r="K40" s="260">
        <f>D40+E40+H40</f>
        <v>521270.4</v>
      </c>
      <c r="L40" s="19">
        <f>C40+F40+I40</f>
        <v>0</v>
      </c>
      <c r="M40" s="19">
        <f>C40+G40+J40</f>
        <v>0</v>
      </c>
      <c r="N40" s="4" t="s">
        <v>2</v>
      </c>
      <c r="O40" s="4" t="s">
        <v>2</v>
      </c>
      <c r="P40" s="4" t="s">
        <v>2</v>
      </c>
      <c r="Q40" s="26" t="s">
        <v>2</v>
      </c>
      <c r="R40" s="26" t="s">
        <v>2</v>
      </c>
      <c r="S40" s="26" t="s">
        <v>2</v>
      </c>
    </row>
    <row r="41" spans="2:19" ht="31.9" customHeight="1" x14ac:dyDescent="0.25">
      <c r="B41" s="18" t="s">
        <v>60</v>
      </c>
      <c r="C41" s="22"/>
      <c r="D41" s="257"/>
      <c r="E41" s="52" t="s">
        <v>72</v>
      </c>
      <c r="F41" s="52" t="s">
        <v>72</v>
      </c>
      <c r="G41" s="52" t="s">
        <v>72</v>
      </c>
      <c r="H41" s="52" t="s">
        <v>72</v>
      </c>
      <c r="I41" s="52" t="s">
        <v>72</v>
      </c>
      <c r="J41" s="52" t="s">
        <v>72</v>
      </c>
      <c r="K41" s="259">
        <f>C41</f>
        <v>0</v>
      </c>
      <c r="L41" s="19">
        <f>C41</f>
        <v>0</v>
      </c>
      <c r="M41" s="19">
        <f>C41</f>
        <v>0</v>
      </c>
      <c r="N41" s="4" t="s">
        <v>2</v>
      </c>
      <c r="O41" s="4" t="s">
        <v>2</v>
      </c>
      <c r="P41" s="4" t="s">
        <v>2</v>
      </c>
      <c r="Q41" s="26" t="s">
        <v>2</v>
      </c>
      <c r="R41" s="26" t="s">
        <v>2</v>
      </c>
      <c r="S41" s="26" t="s">
        <v>2</v>
      </c>
    </row>
    <row r="42" spans="2:19" s="199" customFormat="1" ht="24" customHeight="1" x14ac:dyDescent="0.25">
      <c r="B42" s="246" t="s">
        <v>698</v>
      </c>
      <c r="C42" s="255">
        <f>SUM(C36:C39)</f>
        <v>0</v>
      </c>
      <c r="D42" s="259">
        <f>SUM(D36:D39)</f>
        <v>350000</v>
      </c>
      <c r="E42" s="259">
        <f t="shared" ref="E42:J42" si="3">E40</f>
        <v>0</v>
      </c>
      <c r="F42" s="259">
        <f t="shared" si="3"/>
        <v>0</v>
      </c>
      <c r="G42" s="259">
        <f t="shared" si="3"/>
        <v>0</v>
      </c>
      <c r="H42" s="259">
        <f t="shared" si="3"/>
        <v>171270.39999999999</v>
      </c>
      <c r="I42" s="259">
        <f t="shared" si="3"/>
        <v>0</v>
      </c>
      <c r="J42" s="259">
        <f t="shared" si="3"/>
        <v>0</v>
      </c>
      <c r="K42" s="260">
        <f>K40+K41</f>
        <v>521270.4</v>
      </c>
      <c r="L42" s="256">
        <f>L40+L41</f>
        <v>0</v>
      </c>
      <c r="M42" s="256">
        <f>M40+M41</f>
        <v>0</v>
      </c>
      <c r="N42" s="256">
        <f>SUM(N36:N39)</f>
        <v>0</v>
      </c>
      <c r="O42" s="256">
        <f>SUM(O36:O39)</f>
        <v>0</v>
      </c>
      <c r="P42" s="256">
        <f>SUM(P36:P39)</f>
        <v>0</v>
      </c>
      <c r="Q42" s="275">
        <f>K42+N42</f>
        <v>521270.4</v>
      </c>
      <c r="R42" s="276">
        <f>L42+O42</f>
        <v>0</v>
      </c>
      <c r="S42" s="276">
        <f>M42+P42</f>
        <v>0</v>
      </c>
    </row>
  </sheetData>
  <mergeCells count="13">
    <mergeCell ref="Q34:S34"/>
    <mergeCell ref="B30:E30"/>
    <mergeCell ref="B34:B35"/>
    <mergeCell ref="E34:G34"/>
    <mergeCell ref="H34:J34"/>
    <mergeCell ref="K34:M34"/>
    <mergeCell ref="N34:P34"/>
    <mergeCell ref="K17:K18"/>
    <mergeCell ref="B17:B18"/>
    <mergeCell ref="C17:C18"/>
    <mergeCell ref="D17:D18"/>
    <mergeCell ref="E17:E18"/>
    <mergeCell ref="F17:J17"/>
  </mergeCells>
  <dataValidations count="4">
    <dataValidation type="custom" allowBlank="1" showInputMessage="1" showErrorMessage="1" sqref="N36:P39" xr:uid="{5412C26E-75F4-472C-AF23-FCD2DA0E65D1}">
      <formula1>"-"</formula1>
    </dataValidation>
    <dataValidation showInputMessage="1" showErrorMessage="1" sqref="E19:E20" xr:uid="{225C4A11-1CDC-4362-8A50-44B07538930A}"/>
    <dataValidation type="list" allowBlank="1" showInputMessage="1" showErrorMessage="1" sqref="D19:D20" xr:uid="{D7592AE3-5472-4152-89C1-B85DEFF041C6}">
      <formula1>$V$2:$V$3</formula1>
    </dataValidation>
    <dataValidation type="list" allowBlank="1" showInputMessage="1" showErrorMessage="1" sqref="B13" xr:uid="{B26D6BE6-4669-4574-9D49-6A1FFA5C2FCE}">
      <formula1>$U$2:$U$4</formula1>
    </dataValidation>
  </dataValidations>
  <hyperlinks>
    <hyperlink ref="C12" location="_ftn1" display="_ftn1" xr:uid="{AE44796B-A749-4A47-811A-DDADA38F8DF7}"/>
    <hyperlink ref="D12" location="_ftn2" display="_ftn2" xr:uid="{CFA53850-EF28-479E-AD30-814E40087FE4}"/>
    <hyperlink ref="E12" location="_ftn3" display="_ftn3" xr:uid="{E41E3858-9D8E-4BB1-BBE6-84FE065A574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07521" r:id="rId3" name="Check Box 1">
              <controlPr defaultSize="0" autoFill="0" autoLine="0" autoPict="0">
                <anchor moveWithCells="1">
                  <from>
                    <xdr:col>1</xdr:col>
                    <xdr:colOff>85725</xdr:colOff>
                    <xdr:row>26</xdr:row>
                    <xdr:rowOff>0</xdr:rowOff>
                  </from>
                  <to>
                    <xdr:col>2</xdr:col>
                    <xdr:colOff>1009650</xdr:colOff>
                    <xdr:row>27</xdr:row>
                    <xdr:rowOff>38100</xdr:rowOff>
                  </to>
                </anchor>
              </controlPr>
            </control>
          </mc:Choice>
        </mc:AlternateContent>
        <mc:AlternateContent xmlns:mc="http://schemas.openxmlformats.org/markup-compatibility/2006">
          <mc:Choice Requires="x14">
            <control shapeId="107522" r:id="rId4" name="Check Box 2">
              <controlPr defaultSize="0" autoFill="0" autoLine="0" autoPict="0">
                <anchor moveWithCells="1">
                  <from>
                    <xdr:col>1</xdr:col>
                    <xdr:colOff>85725</xdr:colOff>
                    <xdr:row>23</xdr:row>
                    <xdr:rowOff>171450</xdr:rowOff>
                  </from>
                  <to>
                    <xdr:col>2</xdr:col>
                    <xdr:colOff>1762125</xdr:colOff>
                    <xdr:row>25</xdr:row>
                    <xdr:rowOff>47625</xdr:rowOff>
                  </to>
                </anchor>
              </controlPr>
            </control>
          </mc:Choice>
        </mc:AlternateContent>
        <mc:AlternateContent xmlns:mc="http://schemas.openxmlformats.org/markup-compatibility/2006">
          <mc:Choice Requires="x14">
            <control shapeId="107523" r:id="rId5" name="Check Box 3">
              <controlPr defaultSize="0" autoFill="0" autoLine="0" autoPict="0">
                <anchor moveWithCells="1">
                  <from>
                    <xdr:col>1</xdr:col>
                    <xdr:colOff>85725</xdr:colOff>
                    <xdr:row>25</xdr:row>
                    <xdr:rowOff>28575</xdr:rowOff>
                  </from>
                  <to>
                    <xdr:col>2</xdr:col>
                    <xdr:colOff>1762125</xdr:colOff>
                    <xdr:row>26</xdr:row>
                    <xdr:rowOff>9525</xdr:rowOff>
                  </to>
                </anchor>
              </controlPr>
            </control>
          </mc:Choice>
        </mc:AlternateContent>
        <mc:AlternateContent xmlns:mc="http://schemas.openxmlformats.org/markup-compatibility/2006">
          <mc:Choice Requires="x14">
            <control shapeId="107524" r:id="rId6" name="Check Box 4">
              <controlPr defaultSize="0" autoFill="0" autoLine="0" autoPict="0">
                <anchor moveWithCells="1">
                  <from>
                    <xdr:col>1</xdr:col>
                    <xdr:colOff>95250</xdr:colOff>
                    <xdr:row>27</xdr:row>
                    <xdr:rowOff>9525</xdr:rowOff>
                  </from>
                  <to>
                    <xdr:col>2</xdr:col>
                    <xdr:colOff>409575</xdr:colOff>
                    <xdr:row>28</xdr:row>
                    <xdr:rowOff>9525</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5B70C5-0869-4A5A-89CB-83FCA66186F2}">
  <dimension ref="A1:W45"/>
  <sheetViews>
    <sheetView topLeftCell="E28" workbookViewId="0">
      <selection activeCell="K45" sqref="K45"/>
    </sheetView>
  </sheetViews>
  <sheetFormatPr defaultRowHeight="15" x14ac:dyDescent="0.25"/>
  <cols>
    <col min="1" max="1" width="6" customWidth="1"/>
    <col min="2" max="2" width="33.140625" customWidth="1"/>
    <col min="3" max="3" width="24.85546875" customWidth="1"/>
    <col min="4" max="4" width="31.5703125" customWidth="1"/>
    <col min="5" max="5" width="40.28515625" customWidth="1"/>
    <col min="6" max="6" width="28.42578125" customWidth="1"/>
    <col min="7" max="7" width="22.28515625" customWidth="1"/>
    <col min="8" max="8" width="12.7109375" customWidth="1"/>
    <col min="9" max="9" width="14" customWidth="1"/>
    <col min="10" max="10" width="13.85546875" customWidth="1"/>
    <col min="11" max="11" width="18.28515625" bestFit="1" customWidth="1"/>
    <col min="12" max="12" width="10.5703125" customWidth="1"/>
    <col min="13" max="13" width="11" customWidth="1"/>
    <col min="14" max="14" width="9.5703125" customWidth="1"/>
    <col min="15" max="15" width="8.140625" customWidth="1"/>
    <col min="16" max="16" width="8"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1187</v>
      </c>
      <c r="E5" s="25" t="s">
        <v>83</v>
      </c>
      <c r="F5" s="20">
        <v>2019</v>
      </c>
      <c r="H5" s="3"/>
      <c r="I5" s="3"/>
      <c r="J5" s="3"/>
    </row>
    <row r="6" spans="1:23" ht="36.75" customHeight="1" x14ac:dyDescent="0.25">
      <c r="B6" s="25" t="s">
        <v>80</v>
      </c>
      <c r="C6" s="29" t="s">
        <v>546</v>
      </c>
      <c r="E6" s="25" t="s">
        <v>84</v>
      </c>
      <c r="F6" s="20">
        <v>2026</v>
      </c>
      <c r="H6" s="3"/>
      <c r="I6" s="3"/>
      <c r="J6" s="3"/>
    </row>
    <row r="7" spans="1:23" ht="18" customHeight="1" x14ac:dyDescent="0.25">
      <c r="B7" s="25" t="s">
        <v>81</v>
      </c>
      <c r="C7" s="20">
        <v>12007</v>
      </c>
      <c r="H7" s="3"/>
      <c r="I7" s="3"/>
      <c r="J7" s="3"/>
    </row>
    <row r="8" spans="1:23" ht="81.75" customHeight="1" x14ac:dyDescent="0.25">
      <c r="B8" s="25" t="s">
        <v>82</v>
      </c>
      <c r="C8" s="29" t="s">
        <v>562</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81.75" x14ac:dyDescent="0.3">
      <c r="B13" s="131" t="s">
        <v>48</v>
      </c>
      <c r="C13" s="133" t="s">
        <v>149</v>
      </c>
      <c r="D13" s="21"/>
      <c r="E13" s="132" t="s">
        <v>563</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1.75" customHeight="1" x14ac:dyDescent="0.25">
      <c r="B17" s="365" t="s">
        <v>89</v>
      </c>
      <c r="C17" s="365" t="s">
        <v>90</v>
      </c>
      <c r="D17" s="365" t="s">
        <v>91</v>
      </c>
      <c r="E17" s="365" t="s">
        <v>92</v>
      </c>
      <c r="F17" s="364" t="s">
        <v>93</v>
      </c>
      <c r="G17" s="364"/>
      <c r="H17" s="364"/>
      <c r="I17" s="364"/>
      <c r="J17" s="364"/>
      <c r="K17" s="364" t="s">
        <v>94</v>
      </c>
    </row>
    <row r="18" spans="1:11" ht="21" customHeight="1" x14ac:dyDescent="0.25">
      <c r="B18" s="365"/>
      <c r="C18" s="365"/>
      <c r="D18" s="365"/>
      <c r="E18" s="365"/>
      <c r="F18" s="27" t="s">
        <v>51</v>
      </c>
      <c r="G18" s="27" t="s">
        <v>52</v>
      </c>
      <c r="H18" s="27" t="s">
        <v>0</v>
      </c>
      <c r="I18" s="27" t="s">
        <v>1</v>
      </c>
      <c r="J18" s="27" t="s">
        <v>3</v>
      </c>
      <c r="K18" s="364"/>
    </row>
    <row r="19" spans="1:11" ht="59.25" customHeight="1" x14ac:dyDescent="0.25">
      <c r="B19" s="133" t="s">
        <v>564</v>
      </c>
      <c r="C19" s="21" t="s">
        <v>117</v>
      </c>
      <c r="D19" s="21" t="s">
        <v>47</v>
      </c>
      <c r="E19" s="54" t="s">
        <v>565</v>
      </c>
      <c r="F19" s="134">
        <v>13</v>
      </c>
      <c r="G19" s="134">
        <v>21</v>
      </c>
      <c r="H19" s="134">
        <v>10</v>
      </c>
      <c r="I19" s="134">
        <v>10</v>
      </c>
      <c r="J19" s="134">
        <v>2</v>
      </c>
      <c r="K19" s="21"/>
    </row>
    <row r="20" spans="1:11" ht="33" customHeight="1" x14ac:dyDescent="0.25">
      <c r="B20" s="133"/>
      <c r="C20" s="21"/>
      <c r="D20" s="21"/>
      <c r="E20" s="21"/>
      <c r="F20" s="21"/>
      <c r="G20" s="21"/>
      <c r="H20" s="21"/>
      <c r="I20" s="21"/>
      <c r="J20" s="21"/>
      <c r="K20" s="21"/>
    </row>
    <row r="21" spans="1:11" ht="39.75" customHeight="1" x14ac:dyDescent="0.25"/>
    <row r="22" spans="1:11" ht="17.25" x14ac:dyDescent="0.25">
      <c r="B22" s="3"/>
      <c r="C22" s="3"/>
      <c r="D22" s="3"/>
      <c r="E22" s="3"/>
      <c r="F22" s="3"/>
      <c r="G22" s="3"/>
      <c r="H22" s="3"/>
      <c r="I22" s="3"/>
      <c r="J22" s="3"/>
    </row>
    <row r="23" spans="1:11" ht="15.75" x14ac:dyDescent="0.25">
      <c r="A23" s="12" t="s">
        <v>53</v>
      </c>
      <c r="C23" s="13"/>
      <c r="D23" s="13"/>
      <c r="E23" s="13"/>
      <c r="F23" s="13"/>
      <c r="G23" s="13"/>
      <c r="H23" s="13"/>
      <c r="I23" s="13"/>
      <c r="J23" s="13"/>
    </row>
    <row r="24" spans="1:11" x14ac:dyDescent="0.25">
      <c r="A24" s="14"/>
      <c r="C24" s="15"/>
      <c r="D24" s="15"/>
      <c r="E24" s="15"/>
      <c r="F24" s="15"/>
      <c r="G24" s="15"/>
      <c r="H24" s="15"/>
      <c r="I24" s="15"/>
      <c r="J24" s="15"/>
    </row>
    <row r="25" spans="1:11" x14ac:dyDescent="0.25">
      <c r="A25" s="16" t="s">
        <v>54</v>
      </c>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B29" s="17"/>
      <c r="C29" s="17"/>
      <c r="D29" s="17"/>
      <c r="E29" s="13"/>
      <c r="F29" s="13"/>
      <c r="G29" s="13"/>
      <c r="H29" s="13"/>
      <c r="I29" s="13"/>
      <c r="J29" s="13"/>
    </row>
    <row r="30" spans="1:11" x14ac:dyDescent="0.25">
      <c r="A30" s="16" t="s">
        <v>55</v>
      </c>
      <c r="E30" s="13"/>
      <c r="F30" s="13"/>
      <c r="G30" s="13"/>
      <c r="H30" s="13"/>
      <c r="I30" s="13"/>
      <c r="J30" s="13"/>
    </row>
    <row r="31" spans="1:11" ht="62.25" customHeight="1" x14ac:dyDescent="0.25">
      <c r="B31" s="360" t="s">
        <v>178</v>
      </c>
      <c r="C31" s="361"/>
      <c r="D31" s="361"/>
      <c r="E31" s="362"/>
      <c r="F31" s="13"/>
      <c r="G31" s="13"/>
      <c r="H31" s="13"/>
      <c r="I31" s="13"/>
      <c r="J31" s="13"/>
    </row>
    <row r="32" spans="1:11" ht="17.25" x14ac:dyDescent="0.25">
      <c r="B32" s="3"/>
      <c r="C32" s="3"/>
      <c r="D32" s="3"/>
      <c r="E32" s="13"/>
      <c r="F32" s="13"/>
      <c r="G32" s="13"/>
      <c r="H32" s="13"/>
      <c r="I32" s="13"/>
      <c r="J32" s="13"/>
    </row>
    <row r="33" spans="1:19" x14ac:dyDescent="0.25">
      <c r="A33" s="7" t="s">
        <v>56</v>
      </c>
    </row>
    <row r="35" spans="1:19" ht="43.5" customHeight="1" x14ac:dyDescent="0.25">
      <c r="B35" s="363" t="s">
        <v>95</v>
      </c>
      <c r="C35" s="4" t="s">
        <v>96</v>
      </c>
      <c r="D35" s="4" t="s">
        <v>97</v>
      </c>
      <c r="E35" s="358" t="s">
        <v>98</v>
      </c>
      <c r="F35" s="358"/>
      <c r="G35" s="358"/>
      <c r="H35" s="358" t="s">
        <v>99</v>
      </c>
      <c r="I35" s="358"/>
      <c r="J35" s="358"/>
      <c r="K35" s="358" t="s">
        <v>100</v>
      </c>
      <c r="L35" s="358"/>
      <c r="M35" s="358"/>
      <c r="N35" s="358" t="s">
        <v>101</v>
      </c>
      <c r="O35" s="358"/>
      <c r="P35" s="358"/>
      <c r="Q35" s="359" t="s">
        <v>102</v>
      </c>
      <c r="R35" s="359"/>
      <c r="S35" s="359"/>
    </row>
    <row r="36" spans="1:19" ht="30" customHeight="1" x14ac:dyDescent="0.25">
      <c r="B36" s="363"/>
      <c r="C36" s="4" t="s">
        <v>35</v>
      </c>
      <c r="D36" s="4" t="s">
        <v>36</v>
      </c>
      <c r="E36" s="19" t="s">
        <v>0</v>
      </c>
      <c r="F36" s="19" t="s">
        <v>1</v>
      </c>
      <c r="G36" s="19" t="s">
        <v>3</v>
      </c>
      <c r="H36" s="19" t="s">
        <v>0</v>
      </c>
      <c r="I36" s="19" t="s">
        <v>1</v>
      </c>
      <c r="J36" s="19" t="s">
        <v>3</v>
      </c>
      <c r="K36" s="19" t="s">
        <v>39</v>
      </c>
      <c r="L36" s="19" t="s">
        <v>38</v>
      </c>
      <c r="M36" s="19" t="s">
        <v>37</v>
      </c>
      <c r="N36" s="19" t="s">
        <v>39</v>
      </c>
      <c r="O36" s="19" t="s">
        <v>38</v>
      </c>
      <c r="P36" s="19" t="s">
        <v>37</v>
      </c>
      <c r="Q36" s="26" t="s">
        <v>0</v>
      </c>
      <c r="R36" s="26" t="s">
        <v>1</v>
      </c>
      <c r="S36" s="26" t="s">
        <v>3</v>
      </c>
    </row>
    <row r="37" spans="1:19" x14ac:dyDescent="0.25">
      <c r="B37" s="22" t="s">
        <v>560</v>
      </c>
      <c r="C37" s="51">
        <v>26250</v>
      </c>
      <c r="D37" s="51">
        <v>35000</v>
      </c>
      <c r="E37" s="93"/>
      <c r="F37" s="93"/>
      <c r="G37" s="93"/>
      <c r="H37" s="93">
        <v>0</v>
      </c>
      <c r="I37" s="93">
        <v>0</v>
      </c>
      <c r="J37" s="93">
        <v>-26250</v>
      </c>
      <c r="K37" s="52">
        <f>C37+E37+H37</f>
        <v>26250</v>
      </c>
      <c r="L37" s="52">
        <f>C37+F37+I37</f>
        <v>26250</v>
      </c>
      <c r="M37" s="52">
        <f>+C37+J37</f>
        <v>0</v>
      </c>
      <c r="N37" s="93"/>
      <c r="O37" s="93"/>
      <c r="P37" s="93"/>
      <c r="Q37" s="26">
        <f>K37+N37</f>
        <v>26250</v>
      </c>
      <c r="R37" s="26">
        <f>L37+O37</f>
        <v>26250</v>
      </c>
      <c r="S37" s="26">
        <f>M37+P37</f>
        <v>0</v>
      </c>
    </row>
    <row r="38" spans="1:19" x14ac:dyDescent="0.25">
      <c r="B38" s="22" t="s">
        <v>561</v>
      </c>
      <c r="C38" s="51">
        <v>149500</v>
      </c>
      <c r="D38" s="51">
        <v>280000</v>
      </c>
      <c r="E38" s="93"/>
      <c r="F38" s="93"/>
      <c r="G38" s="93"/>
      <c r="H38" s="93">
        <v>-41400</v>
      </c>
      <c r="I38" s="93">
        <v>-41400</v>
      </c>
      <c r="J38" s="93">
        <v>-124200</v>
      </c>
      <c r="K38" s="52">
        <f t="shared" ref="K38:M40" si="0">C38+E38+H38</f>
        <v>108100</v>
      </c>
      <c r="L38" s="52">
        <f>C38+F38+I38</f>
        <v>108100</v>
      </c>
      <c r="M38" s="52">
        <f>+C38+J38</f>
        <v>25300</v>
      </c>
      <c r="N38" s="93"/>
      <c r="O38" s="93"/>
      <c r="P38" s="93"/>
      <c r="Q38" s="26">
        <f t="shared" ref="Q38:S40" si="1">K38+N38</f>
        <v>108100</v>
      </c>
      <c r="R38" s="26">
        <f t="shared" si="1"/>
        <v>108100</v>
      </c>
      <c r="S38" s="26">
        <f t="shared" si="1"/>
        <v>25300</v>
      </c>
    </row>
    <row r="39" spans="1:19" x14ac:dyDescent="0.25">
      <c r="B39" s="22"/>
      <c r="C39" s="51"/>
      <c r="D39" s="51"/>
      <c r="E39" s="93"/>
      <c r="F39" s="93"/>
      <c r="G39" s="93"/>
      <c r="H39" s="93"/>
      <c r="I39" s="93"/>
      <c r="J39" s="93"/>
      <c r="K39" s="52">
        <f t="shared" si="0"/>
        <v>0</v>
      </c>
      <c r="L39" s="52">
        <f t="shared" si="0"/>
        <v>0</v>
      </c>
      <c r="M39" s="52">
        <f t="shared" si="0"/>
        <v>0</v>
      </c>
      <c r="N39" s="93"/>
      <c r="O39" s="93"/>
      <c r="P39" s="93"/>
      <c r="Q39" s="26">
        <f t="shared" si="1"/>
        <v>0</v>
      </c>
      <c r="R39" s="26">
        <f t="shared" si="1"/>
        <v>0</v>
      </c>
      <c r="S39" s="26">
        <f t="shared" si="1"/>
        <v>0</v>
      </c>
    </row>
    <row r="40" spans="1:19" x14ac:dyDescent="0.25">
      <c r="B40" s="22"/>
      <c r="C40" s="51"/>
      <c r="D40" s="51"/>
      <c r="E40" s="93"/>
      <c r="F40" s="93"/>
      <c r="G40" s="93"/>
      <c r="H40" s="93"/>
      <c r="I40" s="93"/>
      <c r="J40" s="93"/>
      <c r="K40" s="52">
        <f t="shared" si="0"/>
        <v>0</v>
      </c>
      <c r="L40" s="52">
        <f t="shared" si="0"/>
        <v>0</v>
      </c>
      <c r="M40" s="52">
        <f t="shared" si="0"/>
        <v>0</v>
      </c>
      <c r="N40" s="93"/>
      <c r="O40" s="93"/>
      <c r="P40" s="93"/>
      <c r="Q40" s="26">
        <f t="shared" si="1"/>
        <v>0</v>
      </c>
      <c r="R40" s="26">
        <f t="shared" si="1"/>
        <v>0</v>
      </c>
      <c r="S40" s="26">
        <f t="shared" si="1"/>
        <v>0</v>
      </c>
    </row>
    <row r="41" spans="1:19" ht="28.5" x14ac:dyDescent="0.25">
      <c r="B41" s="18" t="s">
        <v>73</v>
      </c>
      <c r="C41" s="51">
        <f>+C37+C38+C39+C40</f>
        <v>175750</v>
      </c>
      <c r="D41" s="51">
        <f>+D37+D38+D39+D40</f>
        <v>315000</v>
      </c>
      <c r="E41" s="52">
        <f>SUM(E37:E40)</f>
        <v>0</v>
      </c>
      <c r="F41" s="52">
        <f t="shared" ref="F41:G41" si="2">SUM(F37:F40)</f>
        <v>0</v>
      </c>
      <c r="G41" s="52">
        <f t="shared" si="2"/>
        <v>0</v>
      </c>
      <c r="H41" s="52">
        <f t="shared" ref="H41:J41" si="3">+H37+H38+H39+H40</f>
        <v>-41400</v>
      </c>
      <c r="I41" s="52">
        <f t="shared" si="3"/>
        <v>-41400</v>
      </c>
      <c r="J41" s="52">
        <f t="shared" si="3"/>
        <v>-150450</v>
      </c>
      <c r="K41" s="52">
        <f>+K37+K38</f>
        <v>134350</v>
      </c>
      <c r="L41" s="52">
        <f>+L37+L38</f>
        <v>134350</v>
      </c>
      <c r="M41" s="52">
        <f>+M37+M38</f>
        <v>25300</v>
      </c>
      <c r="N41" s="82" t="s">
        <v>2</v>
      </c>
      <c r="O41" s="82" t="s">
        <v>2</v>
      </c>
      <c r="P41" s="82" t="s">
        <v>2</v>
      </c>
      <c r="Q41" s="26" t="s">
        <v>2</v>
      </c>
      <c r="R41" s="26" t="s">
        <v>2</v>
      </c>
      <c r="S41" s="26" t="s">
        <v>2</v>
      </c>
    </row>
    <row r="42" spans="1:19" ht="28.5" x14ac:dyDescent="0.25">
      <c r="B42" s="18" t="s">
        <v>60</v>
      </c>
      <c r="C42" s="51"/>
      <c r="D42" s="51"/>
      <c r="E42" s="52" t="s">
        <v>72</v>
      </c>
      <c r="F42" s="52" t="s">
        <v>72</v>
      </c>
      <c r="G42" s="52" t="s">
        <v>72</v>
      </c>
      <c r="H42" s="52" t="s">
        <v>72</v>
      </c>
      <c r="I42" s="52" t="s">
        <v>72</v>
      </c>
      <c r="J42" s="52" t="s">
        <v>72</v>
      </c>
      <c r="K42" s="52">
        <f>C42</f>
        <v>0</v>
      </c>
      <c r="L42" s="52">
        <f>C42</f>
        <v>0</v>
      </c>
      <c r="M42" s="52">
        <f>C42</f>
        <v>0</v>
      </c>
      <c r="N42" s="82" t="s">
        <v>2</v>
      </c>
      <c r="O42" s="82" t="s">
        <v>2</v>
      </c>
      <c r="P42" s="82" t="s">
        <v>2</v>
      </c>
      <c r="Q42" s="26" t="s">
        <v>2</v>
      </c>
      <c r="R42" s="26" t="s">
        <v>2</v>
      </c>
      <c r="S42" s="26" t="s">
        <v>2</v>
      </c>
    </row>
    <row r="43" spans="1:19" x14ac:dyDescent="0.25">
      <c r="B43" s="18" t="s">
        <v>61</v>
      </c>
      <c r="C43" s="52">
        <f>+C41+C42</f>
        <v>175750</v>
      </c>
      <c r="D43" s="52">
        <f>+D41+D42</f>
        <v>315000</v>
      </c>
      <c r="E43" s="52">
        <f>E41</f>
        <v>0</v>
      </c>
      <c r="F43" s="52">
        <f t="shared" ref="F43:J43" si="4">F41</f>
        <v>0</v>
      </c>
      <c r="G43" s="52">
        <f t="shared" si="4"/>
        <v>0</v>
      </c>
      <c r="H43" s="52">
        <f t="shared" si="4"/>
        <v>-41400</v>
      </c>
      <c r="I43" s="52">
        <f t="shared" si="4"/>
        <v>-41400</v>
      </c>
      <c r="J43" s="52">
        <f t="shared" si="4"/>
        <v>-150450</v>
      </c>
      <c r="K43" s="82">
        <f>+K41+K42</f>
        <v>134350</v>
      </c>
      <c r="L43" s="82">
        <f t="shared" ref="L43:M43" si="5">+L41+L42</f>
        <v>134350</v>
      </c>
      <c r="M43" s="82">
        <f t="shared" si="5"/>
        <v>25300</v>
      </c>
      <c r="N43" s="82">
        <f>SUM(N37:N40)</f>
        <v>0</v>
      </c>
      <c r="O43" s="82">
        <f t="shared" ref="O43:P43" si="6">SUM(O37:O40)</f>
        <v>0</v>
      </c>
      <c r="P43" s="82">
        <f t="shared" si="6"/>
        <v>0</v>
      </c>
      <c r="Q43" s="26">
        <f>K43+N43</f>
        <v>134350</v>
      </c>
      <c r="R43" s="26">
        <f>L43+O43</f>
        <v>134350</v>
      </c>
      <c r="S43" s="26">
        <f>M43+P43</f>
        <v>25300</v>
      </c>
    </row>
    <row r="45" spans="1:19" x14ac:dyDescent="0.25">
      <c r="D45" s="301">
        <v>175900</v>
      </c>
      <c r="K45" s="302">
        <v>0</v>
      </c>
    </row>
  </sheetData>
  <mergeCells count="13">
    <mergeCell ref="Q35:S35"/>
    <mergeCell ref="B31:E31"/>
    <mergeCell ref="B35:B36"/>
    <mergeCell ref="E35:G35"/>
    <mergeCell ref="H35:J35"/>
    <mergeCell ref="K35:M35"/>
    <mergeCell ref="N35:P35"/>
    <mergeCell ref="K17:K18"/>
    <mergeCell ref="B17:B18"/>
    <mergeCell ref="C17:C18"/>
    <mergeCell ref="D17:D18"/>
    <mergeCell ref="E17:E18"/>
    <mergeCell ref="F17:J17"/>
  </mergeCells>
  <dataValidations count="4">
    <dataValidation type="list" allowBlank="1" showInputMessage="1" showErrorMessage="1" sqref="D19:D20" xr:uid="{5AD1D6C3-6877-4154-A355-CE85BE78BAFD}">
      <formula1>$V$2:$V$3</formula1>
    </dataValidation>
    <dataValidation showInputMessage="1" showErrorMessage="1" sqref="E19:E20" xr:uid="{89AE2D1B-2542-4ED4-8AE6-67F75202A1F0}"/>
    <dataValidation type="custom" allowBlank="1" showInputMessage="1" showErrorMessage="1" sqref="N37:P40" xr:uid="{57D14F33-BC21-4139-9330-CC86E3E2387A}">
      <formula1>"-"</formula1>
    </dataValidation>
    <dataValidation type="list" allowBlank="1" showInputMessage="1" showErrorMessage="1" sqref="B13" xr:uid="{6645AF06-BA1F-4808-AC88-69CCE88D22AC}">
      <formula1>$U$2:$U$4</formula1>
    </dataValidation>
  </dataValidations>
  <hyperlinks>
    <hyperlink ref="C12" location="_ftn1" display="_ftn1" xr:uid="{779C0E8D-B459-44A2-9CEA-31801367A65D}"/>
    <hyperlink ref="D12" location="_ftn2" display="_ftn2" xr:uid="{C2424A94-0B71-4205-8CCE-5EAF251434CD}"/>
    <hyperlink ref="E12" location="_ftn3" display="_ftn3" xr:uid="{0340A20A-A654-4CAE-AE30-E3BAF910B74D}"/>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1985" r:id="rId3" name="Check Box 1">
              <controlPr defaultSize="0" autoFill="0" autoLine="0" autoPict="0">
                <anchor moveWithCells="1">
                  <from>
                    <xdr:col>1</xdr:col>
                    <xdr:colOff>85725</xdr:colOff>
                    <xdr:row>27</xdr:row>
                    <xdr:rowOff>0</xdr:rowOff>
                  </from>
                  <to>
                    <xdr:col>2</xdr:col>
                    <xdr:colOff>1171575</xdr:colOff>
                    <xdr:row>28</xdr:row>
                    <xdr:rowOff>38100</xdr:rowOff>
                  </to>
                </anchor>
              </controlPr>
            </control>
          </mc:Choice>
        </mc:AlternateContent>
        <mc:AlternateContent xmlns:mc="http://schemas.openxmlformats.org/markup-compatibility/2006">
          <mc:Choice Requires="x14">
            <control shapeId="41986" r:id="rId4" name="Check Box 2">
              <controlPr defaultSize="0" autoFill="0" autoLine="0" autoPict="0">
                <anchor moveWithCells="1">
                  <from>
                    <xdr:col>1</xdr:col>
                    <xdr:colOff>85725</xdr:colOff>
                    <xdr:row>24</xdr:row>
                    <xdr:rowOff>171450</xdr:rowOff>
                  </from>
                  <to>
                    <xdr:col>3</xdr:col>
                    <xdr:colOff>266700</xdr:colOff>
                    <xdr:row>26</xdr:row>
                    <xdr:rowOff>47625</xdr:rowOff>
                  </to>
                </anchor>
              </controlPr>
            </control>
          </mc:Choice>
        </mc:AlternateContent>
        <mc:AlternateContent xmlns:mc="http://schemas.openxmlformats.org/markup-compatibility/2006">
          <mc:Choice Requires="x14">
            <control shapeId="41987" r:id="rId5" name="Check Box 3">
              <controlPr defaultSize="0" autoFill="0" autoLine="0" autoPict="0">
                <anchor moveWithCells="1">
                  <from>
                    <xdr:col>1</xdr:col>
                    <xdr:colOff>85725</xdr:colOff>
                    <xdr:row>26</xdr:row>
                    <xdr:rowOff>28575</xdr:rowOff>
                  </from>
                  <to>
                    <xdr:col>3</xdr:col>
                    <xdr:colOff>266700</xdr:colOff>
                    <xdr:row>27</xdr:row>
                    <xdr:rowOff>9525</xdr:rowOff>
                  </to>
                </anchor>
              </controlPr>
            </control>
          </mc:Choice>
        </mc:AlternateContent>
        <mc:AlternateContent xmlns:mc="http://schemas.openxmlformats.org/markup-compatibility/2006">
          <mc:Choice Requires="x14">
            <control shapeId="41988" r:id="rId6" name="Check Box 4">
              <controlPr defaultSize="0" autoFill="0" autoLine="0" autoPict="0">
                <anchor moveWithCells="1">
                  <from>
                    <xdr:col>1</xdr:col>
                    <xdr:colOff>95250</xdr:colOff>
                    <xdr:row>28</xdr:row>
                    <xdr:rowOff>9525</xdr:rowOff>
                  </from>
                  <to>
                    <xdr:col>2</xdr:col>
                    <xdr:colOff>571500</xdr:colOff>
                    <xdr:row>29</xdr:row>
                    <xdr:rowOff>9525</xdr:rowOff>
                  </to>
                </anchor>
              </controlPr>
            </control>
          </mc:Choice>
        </mc:AlternateContent>
      </controls>
    </mc:Choice>
  </mc:AlternateContent>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2ECB-538A-4411-84C7-B2464684682A}">
  <dimension ref="A1:W50"/>
  <sheetViews>
    <sheetView topLeftCell="F34" workbookViewId="0">
      <selection activeCell="C50" sqref="C50"/>
    </sheetView>
  </sheetViews>
  <sheetFormatPr defaultRowHeight="15" x14ac:dyDescent="0.25"/>
  <cols>
    <col min="1" max="1" width="6" customWidth="1"/>
    <col min="2" max="2" width="33.140625" customWidth="1"/>
    <col min="3" max="3" width="24.85546875" customWidth="1"/>
    <col min="4" max="4" width="31.5703125" customWidth="1"/>
    <col min="5" max="5" width="40.28515625" customWidth="1"/>
    <col min="6" max="6" width="28.42578125" customWidth="1"/>
    <col min="7" max="7" width="22.28515625" customWidth="1"/>
    <col min="8" max="9" width="10.42578125" customWidth="1"/>
    <col min="10" max="10" width="16.42578125" customWidth="1"/>
    <col min="11" max="11" width="18.42578125" bestFit="1" customWidth="1"/>
    <col min="12" max="13" width="11.28515625" customWidth="1"/>
    <col min="14" max="14" width="9.5703125" customWidth="1"/>
    <col min="15" max="15" width="8.140625" customWidth="1"/>
    <col min="16" max="16" width="8" customWidth="1"/>
    <col min="17" max="17" width="10.85546875" bestFit="1" customWidth="1"/>
    <col min="18" max="18" width="10.7109375" bestFit="1" customWidth="1"/>
    <col min="19" max="19" width="10.42578125"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1187</v>
      </c>
      <c r="E5" s="25" t="s">
        <v>83</v>
      </c>
      <c r="F5" s="20">
        <v>2019</v>
      </c>
      <c r="H5" s="3"/>
      <c r="I5" s="3"/>
      <c r="J5" s="3"/>
    </row>
    <row r="6" spans="1:23" ht="30.6" customHeight="1" x14ac:dyDescent="0.25">
      <c r="B6" s="25" t="s">
        <v>80</v>
      </c>
      <c r="C6" s="29" t="s">
        <v>326</v>
      </c>
      <c r="E6" s="25" t="s">
        <v>84</v>
      </c>
      <c r="F6" s="20">
        <v>2029</v>
      </c>
      <c r="H6" s="3"/>
      <c r="I6" s="3"/>
      <c r="J6" s="3"/>
    </row>
    <row r="7" spans="1:23" ht="18" customHeight="1" x14ac:dyDescent="0.25">
      <c r="B7" s="25" t="s">
        <v>81</v>
      </c>
      <c r="C7" s="29">
        <v>12008</v>
      </c>
      <c r="H7" s="3"/>
      <c r="I7" s="3"/>
      <c r="J7" s="3"/>
    </row>
    <row r="8" spans="1:23" ht="67.150000000000006" customHeight="1" x14ac:dyDescent="0.25">
      <c r="B8" s="25" t="s">
        <v>82</v>
      </c>
      <c r="C8" s="29" t="s">
        <v>629</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17.25" x14ac:dyDescent="0.3">
      <c r="B13" s="21" t="s">
        <v>46</v>
      </c>
      <c r="C13" s="21" t="s">
        <v>630</v>
      </c>
      <c r="D13" s="21"/>
      <c r="E13" s="21" t="s">
        <v>631</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15" customHeight="1" x14ac:dyDescent="0.25">
      <c r="B17" s="365" t="s">
        <v>89</v>
      </c>
      <c r="C17" s="365" t="s">
        <v>90</v>
      </c>
      <c r="D17" s="365" t="s">
        <v>91</v>
      </c>
      <c r="E17" s="365" t="s">
        <v>92</v>
      </c>
      <c r="F17" s="364" t="s">
        <v>93</v>
      </c>
      <c r="G17" s="364"/>
      <c r="H17" s="364"/>
      <c r="I17" s="364"/>
      <c r="J17" s="364"/>
      <c r="K17" s="364" t="s">
        <v>94</v>
      </c>
    </row>
    <row r="18" spans="1:11" x14ac:dyDescent="0.25">
      <c r="B18" s="365"/>
      <c r="C18" s="365"/>
      <c r="D18" s="365"/>
      <c r="E18" s="365"/>
      <c r="F18" s="27" t="s">
        <v>51</v>
      </c>
      <c r="G18" s="27" t="s">
        <v>52</v>
      </c>
      <c r="H18" s="27" t="s">
        <v>0</v>
      </c>
      <c r="I18" s="27" t="s">
        <v>1</v>
      </c>
      <c r="J18" s="27" t="s">
        <v>3</v>
      </c>
      <c r="K18" s="364"/>
    </row>
    <row r="19" spans="1:11" ht="37.5" customHeight="1" x14ac:dyDescent="0.25">
      <c r="B19" s="133" t="s">
        <v>632</v>
      </c>
      <c r="C19" s="21" t="s">
        <v>577</v>
      </c>
      <c r="D19" s="21" t="s">
        <v>47</v>
      </c>
      <c r="E19" s="21" t="s">
        <v>633</v>
      </c>
      <c r="F19" s="21">
        <v>40</v>
      </c>
      <c r="G19" s="21">
        <v>90</v>
      </c>
      <c r="H19" s="21">
        <v>120</v>
      </c>
      <c r="I19" s="21" t="s">
        <v>2</v>
      </c>
      <c r="J19" s="21" t="s">
        <v>2</v>
      </c>
      <c r="K19" s="133" t="s">
        <v>634</v>
      </c>
    </row>
    <row r="20" spans="1:11" ht="216" x14ac:dyDescent="0.25">
      <c r="B20" s="32" t="s">
        <v>635</v>
      </c>
      <c r="C20" s="31" t="s">
        <v>577</v>
      </c>
      <c r="D20" s="31" t="s">
        <v>47</v>
      </c>
      <c r="E20" s="31" t="s">
        <v>633</v>
      </c>
      <c r="F20" s="31">
        <v>195</v>
      </c>
      <c r="G20" s="31">
        <v>360</v>
      </c>
      <c r="H20" s="31">
        <v>480</v>
      </c>
      <c r="I20" s="31" t="s">
        <v>2</v>
      </c>
      <c r="J20" s="31" t="s">
        <v>2</v>
      </c>
      <c r="K20" s="133" t="s">
        <v>634</v>
      </c>
    </row>
    <row r="21" spans="1:11" ht="37.5" customHeight="1" x14ac:dyDescent="0.25">
      <c r="B21" s="221" t="s">
        <v>636</v>
      </c>
      <c r="C21" s="21" t="s">
        <v>323</v>
      </c>
      <c r="D21" s="21" t="s">
        <v>47</v>
      </c>
      <c r="E21" s="21" t="s">
        <v>633</v>
      </c>
      <c r="F21" s="31">
        <v>14</v>
      </c>
      <c r="G21" s="31">
        <v>14</v>
      </c>
      <c r="H21" s="31">
        <v>14</v>
      </c>
      <c r="I21" s="31">
        <v>14</v>
      </c>
      <c r="J21" s="31">
        <v>14</v>
      </c>
      <c r="K21" s="222" t="s">
        <v>637</v>
      </c>
    </row>
    <row r="22" spans="1:11" ht="37.5" customHeight="1" x14ac:dyDescent="0.25">
      <c r="B22" s="221" t="s">
        <v>638</v>
      </c>
      <c r="C22" s="21" t="s">
        <v>323</v>
      </c>
      <c r="D22" s="21" t="s">
        <v>47</v>
      </c>
      <c r="E22" s="21" t="s">
        <v>633</v>
      </c>
      <c r="F22" s="31">
        <v>12</v>
      </c>
      <c r="G22" s="31">
        <v>12</v>
      </c>
      <c r="H22" s="31">
        <v>12</v>
      </c>
      <c r="I22" s="31">
        <v>12</v>
      </c>
      <c r="J22" s="31">
        <v>12</v>
      </c>
      <c r="K22" s="222" t="s">
        <v>639</v>
      </c>
    </row>
    <row r="23" spans="1:11" ht="37.5" customHeight="1" x14ac:dyDescent="0.25">
      <c r="B23" s="221" t="s">
        <v>638</v>
      </c>
      <c r="C23" s="21" t="s">
        <v>323</v>
      </c>
      <c r="D23" s="21" t="s">
        <v>47</v>
      </c>
      <c r="E23" s="21" t="s">
        <v>633</v>
      </c>
      <c r="F23" s="31">
        <v>11</v>
      </c>
      <c r="G23" s="31">
        <v>11</v>
      </c>
      <c r="H23" s="31">
        <v>11</v>
      </c>
      <c r="I23" s="31">
        <v>11</v>
      </c>
      <c r="J23" s="31">
        <v>11</v>
      </c>
      <c r="K23" s="222" t="s">
        <v>640</v>
      </c>
    </row>
    <row r="24" spans="1:11" ht="37.5" customHeight="1" x14ac:dyDescent="0.25">
      <c r="B24" s="221" t="s">
        <v>638</v>
      </c>
      <c r="C24" s="21" t="s">
        <v>323</v>
      </c>
      <c r="D24" s="21" t="s">
        <v>47</v>
      </c>
      <c r="E24" s="21" t="s">
        <v>633</v>
      </c>
      <c r="F24" s="31">
        <v>14</v>
      </c>
      <c r="G24" s="31">
        <v>14</v>
      </c>
      <c r="H24" s="31">
        <v>14</v>
      </c>
      <c r="I24" s="31">
        <v>14</v>
      </c>
      <c r="J24" s="31">
        <v>14</v>
      </c>
      <c r="K24" s="222" t="s">
        <v>641</v>
      </c>
    </row>
    <row r="25" spans="1:11" ht="37.5" customHeight="1" x14ac:dyDescent="0.25">
      <c r="B25" s="221" t="s">
        <v>638</v>
      </c>
      <c r="C25" s="21" t="s">
        <v>323</v>
      </c>
      <c r="D25" s="21" t="s">
        <v>47</v>
      </c>
      <c r="E25" s="21" t="s">
        <v>633</v>
      </c>
      <c r="F25" s="31">
        <v>14</v>
      </c>
      <c r="G25" s="31">
        <v>14</v>
      </c>
      <c r="H25" s="31">
        <v>14</v>
      </c>
      <c r="I25" s="31">
        <v>14</v>
      </c>
      <c r="J25" s="31">
        <v>14</v>
      </c>
      <c r="K25" s="222" t="s">
        <v>642</v>
      </c>
    </row>
    <row r="26" spans="1:11" ht="17.25" x14ac:dyDescent="0.25">
      <c r="B26" s="3"/>
      <c r="C26" s="3"/>
      <c r="D26" s="3"/>
      <c r="E26" s="3"/>
      <c r="F26" s="3"/>
      <c r="G26" s="3"/>
      <c r="H26" s="3"/>
      <c r="I26" s="3"/>
      <c r="J26" s="3"/>
    </row>
    <row r="27" spans="1:11" ht="15.75" x14ac:dyDescent="0.25">
      <c r="A27" s="12" t="s">
        <v>53</v>
      </c>
      <c r="C27" s="13"/>
      <c r="D27" s="13"/>
      <c r="E27" s="13"/>
      <c r="F27" s="13"/>
      <c r="G27" s="13"/>
      <c r="H27" s="13"/>
      <c r="I27" s="13"/>
      <c r="J27" s="13"/>
    </row>
    <row r="28" spans="1:11" x14ac:dyDescent="0.25">
      <c r="A28" s="14"/>
      <c r="C28" s="15"/>
      <c r="D28" s="15"/>
      <c r="E28" s="15"/>
      <c r="F28" s="15"/>
      <c r="G28" s="15"/>
      <c r="H28" s="15"/>
      <c r="I28" s="15"/>
      <c r="J28" s="15"/>
    </row>
    <row r="29" spans="1:11" x14ac:dyDescent="0.25">
      <c r="A29" s="16" t="s">
        <v>54</v>
      </c>
      <c r="C29" s="17"/>
      <c r="D29" s="17"/>
      <c r="E29" s="13"/>
      <c r="F29" s="13"/>
      <c r="G29" s="13"/>
      <c r="H29" s="13"/>
      <c r="I29" s="13"/>
      <c r="J29" s="13"/>
    </row>
    <row r="30" spans="1:11" x14ac:dyDescent="0.25">
      <c r="B30" s="17"/>
      <c r="C30" s="17"/>
      <c r="D30" s="17"/>
      <c r="E30" s="13"/>
      <c r="F30" s="13"/>
      <c r="G30" s="13"/>
      <c r="H30" s="13"/>
      <c r="I30" s="13"/>
      <c r="J30" s="13"/>
    </row>
    <row r="31" spans="1:11" x14ac:dyDescent="0.25">
      <c r="B31" s="17"/>
      <c r="C31" s="17"/>
      <c r="D31" s="17"/>
      <c r="E31" s="13"/>
      <c r="F31" s="13"/>
      <c r="G31" s="13"/>
      <c r="H31" s="13"/>
      <c r="I31" s="13"/>
      <c r="J31" s="13"/>
    </row>
    <row r="32" spans="1:11" x14ac:dyDescent="0.25">
      <c r="B32" s="17"/>
      <c r="C32" s="17"/>
      <c r="D32" s="17"/>
      <c r="E32" s="13"/>
      <c r="F32" s="13"/>
      <c r="G32" s="13"/>
      <c r="H32" s="13"/>
      <c r="I32" s="13"/>
      <c r="J32" s="13"/>
    </row>
    <row r="33" spans="1:19" x14ac:dyDescent="0.25">
      <c r="B33" s="17"/>
      <c r="C33" s="17"/>
      <c r="D33" s="17"/>
      <c r="E33" s="13"/>
      <c r="F33" s="13"/>
      <c r="G33" s="13"/>
      <c r="H33" s="13"/>
      <c r="I33" s="13"/>
      <c r="J33" s="13"/>
    </row>
    <row r="34" spans="1:19" x14ac:dyDescent="0.25">
      <c r="A34" s="16" t="s">
        <v>55</v>
      </c>
      <c r="E34" s="13"/>
      <c r="F34" s="13"/>
      <c r="G34" s="13"/>
      <c r="H34" s="13"/>
      <c r="I34" s="13"/>
      <c r="J34" s="13"/>
    </row>
    <row r="35" spans="1:19" x14ac:dyDescent="0.25">
      <c r="B35" s="360"/>
      <c r="C35" s="361"/>
      <c r="D35" s="361"/>
      <c r="E35" s="362"/>
      <c r="F35" s="13"/>
      <c r="G35" s="13"/>
      <c r="H35" s="13"/>
      <c r="I35" s="13"/>
      <c r="J35" s="13"/>
    </row>
    <row r="36" spans="1:19" ht="17.25" x14ac:dyDescent="0.25">
      <c r="B36" s="3"/>
      <c r="C36" s="3"/>
      <c r="D36" s="3"/>
      <c r="E36" s="13"/>
      <c r="F36" s="13"/>
      <c r="G36" s="13"/>
      <c r="H36" s="13"/>
      <c r="I36" s="13"/>
      <c r="J36" s="13"/>
    </row>
    <row r="37" spans="1:19" x14ac:dyDescent="0.25">
      <c r="A37" s="7" t="s">
        <v>56</v>
      </c>
    </row>
    <row r="39" spans="1:19" ht="43.5" customHeight="1" x14ac:dyDescent="0.25">
      <c r="B39" s="363" t="s">
        <v>95</v>
      </c>
      <c r="C39" s="4" t="s">
        <v>96</v>
      </c>
      <c r="D39" s="4" t="s">
        <v>97</v>
      </c>
      <c r="E39" s="358" t="s">
        <v>98</v>
      </c>
      <c r="F39" s="358"/>
      <c r="G39" s="358"/>
      <c r="H39" s="358" t="s">
        <v>99</v>
      </c>
      <c r="I39" s="358"/>
      <c r="J39" s="358"/>
      <c r="K39" s="358" t="s">
        <v>100</v>
      </c>
      <c r="L39" s="358"/>
      <c r="M39" s="358"/>
      <c r="N39" s="358" t="s">
        <v>101</v>
      </c>
      <c r="O39" s="358"/>
      <c r="P39" s="358"/>
      <c r="Q39" s="359" t="s">
        <v>102</v>
      </c>
      <c r="R39" s="359"/>
      <c r="S39" s="359"/>
    </row>
    <row r="40" spans="1:19" ht="30" customHeight="1" x14ac:dyDescent="0.25">
      <c r="B40" s="363"/>
      <c r="C40" s="4" t="s">
        <v>35</v>
      </c>
      <c r="D40" s="4" t="s">
        <v>36</v>
      </c>
      <c r="E40" s="19" t="s">
        <v>0</v>
      </c>
      <c r="F40" s="19" t="s">
        <v>1</v>
      </c>
      <c r="G40" s="19" t="s">
        <v>3</v>
      </c>
      <c r="H40" s="19" t="s">
        <v>0</v>
      </c>
      <c r="I40" s="19" t="s">
        <v>1</v>
      </c>
      <c r="J40" s="19" t="s">
        <v>3</v>
      </c>
      <c r="K40" s="19" t="s">
        <v>39</v>
      </c>
      <c r="L40" s="19" t="s">
        <v>38</v>
      </c>
      <c r="M40" s="19" t="s">
        <v>37</v>
      </c>
      <c r="N40" s="19" t="s">
        <v>39</v>
      </c>
      <c r="O40" s="19" t="s">
        <v>38</v>
      </c>
      <c r="P40" s="19" t="s">
        <v>37</v>
      </c>
      <c r="Q40" s="26" t="s">
        <v>0</v>
      </c>
      <c r="R40" s="26" t="s">
        <v>1</v>
      </c>
      <c r="S40" s="26" t="s">
        <v>3</v>
      </c>
    </row>
    <row r="41" spans="1:19" ht="40.5" x14ac:dyDescent="0.25">
      <c r="B41" s="22" t="s">
        <v>312</v>
      </c>
      <c r="C41" s="298">
        <f>145251-0.15</f>
        <v>145250.85</v>
      </c>
      <c r="D41" s="257">
        <v>217892.4</v>
      </c>
      <c r="E41" s="299"/>
      <c r="F41" s="299"/>
      <c r="G41" s="299"/>
      <c r="H41" s="299">
        <v>198799.7</v>
      </c>
      <c r="I41" s="299">
        <v>133915.79999999999</v>
      </c>
      <c r="J41" s="299">
        <v>75161.8</v>
      </c>
      <c r="K41" s="52">
        <f>C41+E41+H41</f>
        <v>344050.55000000005</v>
      </c>
      <c r="L41" s="52">
        <f>C41+F41+I41</f>
        <v>279166.65000000002</v>
      </c>
      <c r="M41" s="52">
        <f>C41+G41+J41</f>
        <v>220412.65000000002</v>
      </c>
      <c r="N41" s="93"/>
      <c r="O41" s="93"/>
      <c r="P41" s="93"/>
      <c r="Q41" s="70">
        <f>K41+N41</f>
        <v>344050.55000000005</v>
      </c>
      <c r="R41" s="70">
        <f>L41+O41</f>
        <v>279166.65000000002</v>
      </c>
      <c r="S41" s="70">
        <f>M41+P41</f>
        <v>220412.65000000002</v>
      </c>
    </row>
    <row r="42" spans="1:19" ht="28.5" x14ac:dyDescent="0.25">
      <c r="B42" s="18" t="s">
        <v>73</v>
      </c>
      <c r="C42" s="51"/>
      <c r="D42" s="257">
        <v>81086.7</v>
      </c>
      <c r="E42" s="52">
        <f t="shared" ref="E42:J42" si="0">SUM(E41:E41)</f>
        <v>0</v>
      </c>
      <c r="F42" s="52">
        <f t="shared" si="0"/>
        <v>0</v>
      </c>
      <c r="G42" s="52">
        <f t="shared" si="0"/>
        <v>0</v>
      </c>
      <c r="H42" s="52">
        <f t="shared" si="0"/>
        <v>198799.7</v>
      </c>
      <c r="I42" s="52">
        <f t="shared" si="0"/>
        <v>133915.79999999999</v>
      </c>
      <c r="J42" s="52">
        <f t="shared" si="0"/>
        <v>75161.8</v>
      </c>
      <c r="K42" s="52">
        <f>C42+E42+H42</f>
        <v>198799.7</v>
      </c>
      <c r="L42" s="52">
        <f>C42+F42+I42</f>
        <v>133915.79999999999</v>
      </c>
      <c r="M42" s="52">
        <f>C42+G42+J42</f>
        <v>75161.8</v>
      </c>
      <c r="N42" s="82" t="s">
        <v>2</v>
      </c>
      <c r="O42" s="82" t="s">
        <v>2</v>
      </c>
      <c r="P42" s="82" t="s">
        <v>2</v>
      </c>
      <c r="Q42" s="70" t="s">
        <v>2</v>
      </c>
      <c r="R42" s="70" t="s">
        <v>2</v>
      </c>
      <c r="S42" s="70" t="s">
        <v>2</v>
      </c>
    </row>
    <row r="43" spans="1:19" ht="28.5" x14ac:dyDescent="0.25">
      <c r="B43" s="18" t="s">
        <v>60</v>
      </c>
      <c r="C43" s="51"/>
      <c r="D43" s="257">
        <v>136805.70000000001</v>
      </c>
      <c r="E43" s="52" t="s">
        <v>72</v>
      </c>
      <c r="F43" s="52" t="s">
        <v>72</v>
      </c>
      <c r="G43" s="52" t="s">
        <v>72</v>
      </c>
      <c r="H43" s="52" t="s">
        <v>72</v>
      </c>
      <c r="I43" s="52" t="s">
        <v>72</v>
      </c>
      <c r="J43" s="52" t="s">
        <v>72</v>
      </c>
      <c r="K43" s="52">
        <f>C43</f>
        <v>0</v>
      </c>
      <c r="L43" s="52">
        <f>C43</f>
        <v>0</v>
      </c>
      <c r="M43" s="52">
        <f>C43</f>
        <v>0</v>
      </c>
      <c r="N43" s="82" t="s">
        <v>2</v>
      </c>
      <c r="O43" s="82" t="s">
        <v>2</v>
      </c>
      <c r="P43" s="82" t="s">
        <v>2</v>
      </c>
      <c r="Q43" s="70" t="s">
        <v>2</v>
      </c>
      <c r="R43" s="70" t="s">
        <v>2</v>
      </c>
      <c r="S43" s="70" t="s">
        <v>2</v>
      </c>
    </row>
    <row r="44" spans="1:19" x14ac:dyDescent="0.25">
      <c r="B44" s="18" t="s">
        <v>61</v>
      </c>
      <c r="C44" s="52">
        <f>SUM(C41:C41)</f>
        <v>145250.85</v>
      </c>
      <c r="D44" s="52">
        <f>SUM(D41:D41)</f>
        <v>217892.4</v>
      </c>
      <c r="E44" s="52">
        <f>E42</f>
        <v>0</v>
      </c>
      <c r="F44" s="52">
        <f t="shared" ref="F44:J44" si="1">F42</f>
        <v>0</v>
      </c>
      <c r="G44" s="52">
        <f t="shared" si="1"/>
        <v>0</v>
      </c>
      <c r="H44" s="52">
        <f t="shared" si="1"/>
        <v>198799.7</v>
      </c>
      <c r="I44" s="52">
        <f t="shared" si="1"/>
        <v>133915.79999999999</v>
      </c>
      <c r="J44" s="52">
        <f t="shared" si="1"/>
        <v>75161.8</v>
      </c>
      <c r="K44" s="82">
        <f>K42+K43</f>
        <v>198799.7</v>
      </c>
      <c r="L44" s="82">
        <f t="shared" ref="L44:M44" si="2">L42+L43</f>
        <v>133915.79999999999</v>
      </c>
      <c r="M44" s="82">
        <f t="shared" si="2"/>
        <v>75161.8</v>
      </c>
      <c r="N44" s="82">
        <f>SUM(N41:N41)</f>
        <v>0</v>
      </c>
      <c r="O44" s="82">
        <f>SUM(O41:O41)</f>
        <v>0</v>
      </c>
      <c r="P44" s="82">
        <f>SUM(P41:P41)</f>
        <v>0</v>
      </c>
      <c r="Q44" s="70">
        <f>K44+N44</f>
        <v>198799.7</v>
      </c>
      <c r="R44" s="70">
        <f>L44+O44</f>
        <v>133915.79999999999</v>
      </c>
      <c r="S44" s="70">
        <f>M44+P44</f>
        <v>75161.8</v>
      </c>
    </row>
    <row r="50" spans="3:3" x14ac:dyDescent="0.25">
      <c r="C50" s="84"/>
    </row>
  </sheetData>
  <mergeCells count="13">
    <mergeCell ref="K17:K18"/>
    <mergeCell ref="B17:B18"/>
    <mergeCell ref="C17:C18"/>
    <mergeCell ref="D17:D18"/>
    <mergeCell ref="E17:E18"/>
    <mergeCell ref="F17:J17"/>
    <mergeCell ref="Q39:S39"/>
    <mergeCell ref="B35:E35"/>
    <mergeCell ref="B39:B40"/>
    <mergeCell ref="E39:G39"/>
    <mergeCell ref="H39:J39"/>
    <mergeCell ref="K39:M39"/>
    <mergeCell ref="N39:P39"/>
  </mergeCells>
  <dataValidations count="4">
    <dataValidation type="custom" allowBlank="1" showInputMessage="1" showErrorMessage="1" sqref="N41:P41" xr:uid="{90811811-FBC3-414B-9FF9-7A0DE09A89EC}">
      <formula1>"-"</formula1>
    </dataValidation>
    <dataValidation type="list" allowBlank="1" showInputMessage="1" showErrorMessage="1" sqref="B13" xr:uid="{22138D75-781D-4158-887F-45963DAECC5E}">
      <formula1>$U$2:$U$4</formula1>
    </dataValidation>
    <dataValidation type="list" allowBlank="1" showInputMessage="1" showErrorMessage="1" sqref="D19:D25" xr:uid="{8A14E7BE-EBB9-4BFD-8181-373967D3B1A3}">
      <formula1>$V$2:$V$3</formula1>
    </dataValidation>
    <dataValidation showInputMessage="1" showErrorMessage="1" sqref="E19:E25" xr:uid="{67D1B2B9-4994-41E7-B116-EA1D5EBDA356}"/>
  </dataValidations>
  <hyperlinks>
    <hyperlink ref="C12" location="_ftn1" display="_ftn1" xr:uid="{5EAD4549-7FAA-40A1-9599-3D0BFCBA3F42}"/>
    <hyperlink ref="D12" location="_ftn2" display="_ftn2" xr:uid="{88679D26-0BA1-46BF-97AE-9C121C0B54F0}"/>
    <hyperlink ref="E12" location="_ftn3" display="_ftn3" xr:uid="{35A2F19A-BB75-485C-A99F-133689D61E3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2705" r:id="rId3" name="Check Box 1">
              <controlPr defaultSize="0" autoFill="0" autoLine="0" autoPict="0">
                <anchor moveWithCells="1">
                  <from>
                    <xdr:col>1</xdr:col>
                    <xdr:colOff>85725</xdr:colOff>
                    <xdr:row>31</xdr:row>
                    <xdr:rowOff>0</xdr:rowOff>
                  </from>
                  <to>
                    <xdr:col>2</xdr:col>
                    <xdr:colOff>1171575</xdr:colOff>
                    <xdr:row>32</xdr:row>
                    <xdr:rowOff>38100</xdr:rowOff>
                  </to>
                </anchor>
              </controlPr>
            </control>
          </mc:Choice>
        </mc:AlternateContent>
        <mc:AlternateContent xmlns:mc="http://schemas.openxmlformats.org/markup-compatibility/2006">
          <mc:Choice Requires="x14">
            <control shapeId="72706" r:id="rId4" name="Check Box 2">
              <controlPr defaultSize="0" autoFill="0" autoLine="0" autoPict="0">
                <anchor moveWithCells="1">
                  <from>
                    <xdr:col>1</xdr:col>
                    <xdr:colOff>85725</xdr:colOff>
                    <xdr:row>28</xdr:row>
                    <xdr:rowOff>171450</xdr:rowOff>
                  </from>
                  <to>
                    <xdr:col>3</xdr:col>
                    <xdr:colOff>266700</xdr:colOff>
                    <xdr:row>30</xdr:row>
                    <xdr:rowOff>47625</xdr:rowOff>
                  </to>
                </anchor>
              </controlPr>
            </control>
          </mc:Choice>
        </mc:AlternateContent>
        <mc:AlternateContent xmlns:mc="http://schemas.openxmlformats.org/markup-compatibility/2006">
          <mc:Choice Requires="x14">
            <control shapeId="72707" r:id="rId5" name="Check Box 3">
              <controlPr defaultSize="0" autoFill="0" autoLine="0" autoPict="0">
                <anchor moveWithCells="1">
                  <from>
                    <xdr:col>1</xdr:col>
                    <xdr:colOff>85725</xdr:colOff>
                    <xdr:row>30</xdr:row>
                    <xdr:rowOff>28575</xdr:rowOff>
                  </from>
                  <to>
                    <xdr:col>3</xdr:col>
                    <xdr:colOff>266700</xdr:colOff>
                    <xdr:row>31</xdr:row>
                    <xdr:rowOff>9525</xdr:rowOff>
                  </to>
                </anchor>
              </controlPr>
            </control>
          </mc:Choice>
        </mc:AlternateContent>
        <mc:AlternateContent xmlns:mc="http://schemas.openxmlformats.org/markup-compatibility/2006">
          <mc:Choice Requires="x14">
            <control shapeId="72708" r:id="rId6" name="Check Box 4">
              <controlPr defaultSize="0" autoFill="0" autoLine="0" autoPict="0">
                <anchor moveWithCells="1">
                  <from>
                    <xdr:col>1</xdr:col>
                    <xdr:colOff>95250</xdr:colOff>
                    <xdr:row>32</xdr:row>
                    <xdr:rowOff>9525</xdr:rowOff>
                  </from>
                  <to>
                    <xdr:col>2</xdr:col>
                    <xdr:colOff>571500</xdr:colOff>
                    <xdr:row>33</xdr:row>
                    <xdr:rowOff>9525</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CBA92-C798-48AF-8B31-C26C4AC83948}">
  <dimension ref="A1:W43"/>
  <sheetViews>
    <sheetView topLeftCell="A28" workbookViewId="0">
      <selection activeCell="D45" sqref="D45"/>
    </sheetView>
  </sheetViews>
  <sheetFormatPr defaultRowHeight="15" x14ac:dyDescent="0.25"/>
  <cols>
    <col min="1" max="1" width="6" customWidth="1"/>
    <col min="2" max="2" width="33.140625" customWidth="1"/>
    <col min="3" max="3" width="26.85546875" customWidth="1"/>
    <col min="4" max="4" width="31.5703125" customWidth="1"/>
    <col min="5" max="5" width="40.28515625" customWidth="1"/>
    <col min="6" max="6" width="28.42578125" customWidth="1"/>
    <col min="7" max="7" width="22.28515625" customWidth="1"/>
    <col min="8" max="8" width="12.85546875" customWidth="1"/>
    <col min="9" max="9" width="13" customWidth="1"/>
    <col min="10" max="10" width="13.85546875" customWidth="1"/>
    <col min="11" max="11" width="18.42578125" bestFit="1" customWidth="1"/>
    <col min="12" max="12" width="9.140625" customWidth="1"/>
    <col min="13" max="13" width="8.140625" customWidth="1"/>
    <col min="14" max="14" width="9.5703125" customWidth="1"/>
    <col min="15" max="15" width="8.140625" customWidth="1"/>
    <col min="16" max="16" width="8" customWidth="1"/>
    <col min="17" max="17" width="10.7109375" bestFit="1" customWidth="1"/>
    <col min="18" max="19" width="9"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1187</v>
      </c>
      <c r="E5" s="25" t="s">
        <v>83</v>
      </c>
      <c r="F5" s="20">
        <v>2021</v>
      </c>
      <c r="H5" s="3"/>
      <c r="I5" s="3"/>
      <c r="J5" s="3"/>
    </row>
    <row r="6" spans="1:23" ht="36.75" customHeight="1" x14ac:dyDescent="0.25">
      <c r="B6" s="25" t="s">
        <v>80</v>
      </c>
      <c r="C6" s="29" t="s">
        <v>546</v>
      </c>
      <c r="E6" s="25" t="s">
        <v>84</v>
      </c>
      <c r="F6" s="20">
        <v>2024</v>
      </c>
      <c r="H6" s="3"/>
      <c r="I6" s="3"/>
      <c r="J6" s="3"/>
    </row>
    <row r="7" spans="1:23" ht="18" customHeight="1" x14ac:dyDescent="0.25">
      <c r="B7" s="25" t="s">
        <v>81</v>
      </c>
      <c r="C7" s="20">
        <v>12009</v>
      </c>
      <c r="H7" s="3"/>
      <c r="I7" s="3"/>
      <c r="J7" s="3"/>
    </row>
    <row r="8" spans="1:23" ht="106.15" customHeight="1" x14ac:dyDescent="0.25">
      <c r="B8" s="25" t="s">
        <v>82</v>
      </c>
      <c r="C8" s="29" t="s">
        <v>557</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95.25" x14ac:dyDescent="0.3">
      <c r="B13" s="131" t="s">
        <v>48</v>
      </c>
      <c r="C13" s="133" t="s">
        <v>535</v>
      </c>
      <c r="D13" s="21"/>
      <c r="E13" s="132" t="s">
        <v>558</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1.75" customHeight="1" x14ac:dyDescent="0.25">
      <c r="B17" s="365" t="s">
        <v>89</v>
      </c>
      <c r="C17" s="365" t="s">
        <v>90</v>
      </c>
      <c r="D17" s="365" t="s">
        <v>91</v>
      </c>
      <c r="E17" s="365" t="s">
        <v>92</v>
      </c>
      <c r="F17" s="364" t="s">
        <v>93</v>
      </c>
      <c r="G17" s="364"/>
      <c r="H17" s="364"/>
      <c r="I17" s="364"/>
      <c r="J17" s="364"/>
      <c r="K17" s="364" t="s">
        <v>94</v>
      </c>
    </row>
    <row r="18" spans="1:11" ht="21" customHeight="1" x14ac:dyDescent="0.25">
      <c r="B18" s="365"/>
      <c r="C18" s="365"/>
      <c r="D18" s="365"/>
      <c r="E18" s="365"/>
      <c r="F18" s="27" t="s">
        <v>51</v>
      </c>
      <c r="G18" s="27" t="s">
        <v>52</v>
      </c>
      <c r="H18" s="27" t="s">
        <v>0</v>
      </c>
      <c r="I18" s="27" t="s">
        <v>1</v>
      </c>
      <c r="J18" s="27" t="s">
        <v>3</v>
      </c>
      <c r="K18" s="364"/>
    </row>
    <row r="19" spans="1:11" ht="33" customHeight="1" x14ac:dyDescent="0.25">
      <c r="B19" s="133" t="s">
        <v>559</v>
      </c>
      <c r="C19" s="21" t="s">
        <v>376</v>
      </c>
      <c r="D19" s="21" t="s">
        <v>47</v>
      </c>
      <c r="E19" s="21" t="s">
        <v>341</v>
      </c>
      <c r="F19" s="136">
        <v>197.8</v>
      </c>
      <c r="G19" s="21">
        <v>85</v>
      </c>
      <c r="H19" s="21">
        <v>85</v>
      </c>
      <c r="I19" s="21">
        <v>0</v>
      </c>
      <c r="J19" s="21">
        <v>0</v>
      </c>
      <c r="K19" s="21"/>
    </row>
    <row r="20" spans="1:11" ht="33" customHeight="1" x14ac:dyDescent="0.25">
      <c r="B20" s="133"/>
      <c r="C20" s="21"/>
      <c r="D20" s="21"/>
      <c r="E20" s="21"/>
      <c r="F20" s="21"/>
      <c r="G20" s="21"/>
      <c r="H20" s="21"/>
      <c r="I20" s="21">
        <v>0</v>
      </c>
      <c r="J20" s="21">
        <v>0</v>
      </c>
      <c r="K20" s="21"/>
    </row>
    <row r="21" spans="1:11" ht="39.75" customHeight="1" x14ac:dyDescent="0.25"/>
    <row r="22" spans="1:11" ht="17.25" x14ac:dyDescent="0.25">
      <c r="B22" s="3"/>
      <c r="C22" s="3"/>
      <c r="D22" s="3"/>
      <c r="E22" s="3"/>
      <c r="F22" s="3"/>
      <c r="G22" s="3"/>
      <c r="H22" s="215"/>
      <c r="I22" s="3"/>
      <c r="J22" s="3"/>
    </row>
    <row r="23" spans="1:11" ht="15.75" x14ac:dyDescent="0.25">
      <c r="A23" s="12" t="s">
        <v>53</v>
      </c>
      <c r="C23" s="13"/>
      <c r="D23" s="13"/>
      <c r="E23" s="13"/>
      <c r="F23" s="13"/>
      <c r="G23" s="13"/>
      <c r="H23" s="13"/>
      <c r="I23" s="13"/>
      <c r="J23" s="13"/>
    </row>
    <row r="24" spans="1:11" x14ac:dyDescent="0.25">
      <c r="A24" s="14"/>
      <c r="C24" s="15"/>
      <c r="D24" s="15"/>
      <c r="E24" s="15"/>
      <c r="F24" s="15"/>
      <c r="G24" s="15"/>
      <c r="H24" s="15"/>
      <c r="I24" s="15"/>
      <c r="J24" s="15"/>
    </row>
    <row r="25" spans="1:11" x14ac:dyDescent="0.25">
      <c r="A25" s="16" t="s">
        <v>54</v>
      </c>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B29" s="17"/>
      <c r="C29" s="17"/>
      <c r="D29" s="17"/>
      <c r="E29" s="13"/>
      <c r="F29" s="13"/>
      <c r="G29" s="13"/>
      <c r="H29" s="13"/>
      <c r="I29" s="13"/>
      <c r="J29" s="13"/>
    </row>
    <row r="30" spans="1:11" x14ac:dyDescent="0.25">
      <c r="A30" s="16" t="s">
        <v>55</v>
      </c>
      <c r="E30" s="13"/>
      <c r="F30" s="13"/>
      <c r="G30" s="13"/>
      <c r="H30" s="13"/>
      <c r="I30" s="13"/>
      <c r="J30" s="13"/>
    </row>
    <row r="31" spans="1:11" ht="62.25" customHeight="1" x14ac:dyDescent="0.25">
      <c r="B31" s="360" t="s">
        <v>178</v>
      </c>
      <c r="C31" s="361"/>
      <c r="D31" s="361"/>
      <c r="E31" s="362"/>
      <c r="F31" s="13"/>
      <c r="G31" s="13"/>
      <c r="H31" s="13"/>
      <c r="I31" s="13"/>
      <c r="J31" s="13"/>
    </row>
    <row r="32" spans="1:11" ht="17.25" x14ac:dyDescent="0.25">
      <c r="B32" s="3"/>
      <c r="C32" s="3"/>
      <c r="D32" s="3"/>
      <c r="E32" s="13"/>
      <c r="F32" s="13"/>
      <c r="G32" s="13"/>
      <c r="H32" s="13"/>
      <c r="I32" s="13"/>
      <c r="J32" s="13"/>
    </row>
    <row r="33" spans="1:20" x14ac:dyDescent="0.25">
      <c r="A33" s="7" t="s">
        <v>56</v>
      </c>
    </row>
    <row r="35" spans="1:20" ht="43.5" customHeight="1" x14ac:dyDescent="0.25">
      <c r="B35" s="363" t="s">
        <v>95</v>
      </c>
      <c r="C35" s="4" t="s">
        <v>96</v>
      </c>
      <c r="D35" s="4" t="s">
        <v>97</v>
      </c>
      <c r="E35" s="358" t="s">
        <v>98</v>
      </c>
      <c r="F35" s="358"/>
      <c r="G35" s="358"/>
      <c r="H35" s="358" t="s">
        <v>99</v>
      </c>
      <c r="I35" s="358"/>
      <c r="J35" s="358"/>
      <c r="K35" s="358" t="s">
        <v>100</v>
      </c>
      <c r="L35" s="358"/>
      <c r="M35" s="358"/>
      <c r="N35" s="358" t="s">
        <v>101</v>
      </c>
      <c r="O35" s="358"/>
      <c r="P35" s="358"/>
      <c r="Q35" s="359" t="s">
        <v>102</v>
      </c>
      <c r="R35" s="359"/>
      <c r="S35" s="359"/>
    </row>
    <row r="36" spans="1:20" ht="30" customHeight="1" x14ac:dyDescent="0.25">
      <c r="B36" s="363"/>
      <c r="C36" s="4" t="s">
        <v>35</v>
      </c>
      <c r="D36" s="4" t="s">
        <v>36</v>
      </c>
      <c r="E36" s="19" t="s">
        <v>0</v>
      </c>
      <c r="F36" s="19" t="s">
        <v>1</v>
      </c>
      <c r="G36" s="19" t="s">
        <v>3</v>
      </c>
      <c r="H36" s="19" t="s">
        <v>0</v>
      </c>
      <c r="I36" s="19" t="s">
        <v>1</v>
      </c>
      <c r="J36" s="19" t="s">
        <v>3</v>
      </c>
      <c r="K36" s="19" t="s">
        <v>39</v>
      </c>
      <c r="L36" s="19" t="s">
        <v>38</v>
      </c>
      <c r="M36" s="19" t="s">
        <v>37</v>
      </c>
      <c r="N36" s="19" t="s">
        <v>39</v>
      </c>
      <c r="O36" s="19" t="s">
        <v>38</v>
      </c>
      <c r="P36" s="19" t="s">
        <v>37</v>
      </c>
      <c r="Q36" s="26" t="s">
        <v>0</v>
      </c>
      <c r="R36" s="26" t="s">
        <v>1</v>
      </c>
      <c r="S36" s="26" t="s">
        <v>3</v>
      </c>
    </row>
    <row r="37" spans="1:20" x14ac:dyDescent="0.25">
      <c r="B37" s="22" t="s">
        <v>560</v>
      </c>
      <c r="C37" s="51">
        <v>143653.79999999999</v>
      </c>
      <c r="D37" s="51">
        <v>100000</v>
      </c>
      <c r="E37" s="93"/>
      <c r="F37" s="93"/>
      <c r="G37" s="93"/>
      <c r="H37" s="93"/>
      <c r="I37" s="93">
        <v>-143653.79999999999</v>
      </c>
      <c r="J37" s="93">
        <v>-143653.79999999999</v>
      </c>
      <c r="K37" s="52">
        <f>C37+E37+H37</f>
        <v>143653.79999999999</v>
      </c>
      <c r="L37" s="52">
        <f>C37+F37+I37</f>
        <v>0</v>
      </c>
      <c r="M37" s="52">
        <f>C37+G37+J37</f>
        <v>0</v>
      </c>
      <c r="N37" s="93"/>
      <c r="O37" s="93"/>
      <c r="P37" s="93"/>
      <c r="Q37" s="70">
        <f>K37+N37</f>
        <v>143653.79999999999</v>
      </c>
      <c r="R37" s="70">
        <f>L37+O37</f>
        <v>0</v>
      </c>
      <c r="S37" s="70">
        <f>M37+P37</f>
        <v>0</v>
      </c>
      <c r="T37" s="86"/>
    </row>
    <row r="38" spans="1:20" x14ac:dyDescent="0.25">
      <c r="B38" s="22" t="s">
        <v>561</v>
      </c>
      <c r="C38" s="51">
        <v>968846.3</v>
      </c>
      <c r="D38" s="51">
        <v>362500</v>
      </c>
      <c r="E38" s="93"/>
      <c r="F38" s="93"/>
      <c r="G38" s="93"/>
      <c r="H38" s="93">
        <v>-634428.69999999995</v>
      </c>
      <c r="I38" s="93">
        <v>-968846.3</v>
      </c>
      <c r="J38" s="93">
        <v>-968846.3</v>
      </c>
      <c r="K38" s="52">
        <f t="shared" ref="K38" si="0">C38+E38+H38</f>
        <v>334417.60000000009</v>
      </c>
      <c r="L38" s="52">
        <f t="shared" ref="L38" si="1">C38+F38+I38</f>
        <v>0</v>
      </c>
      <c r="M38" s="52">
        <f>C38+G38+J38</f>
        <v>0</v>
      </c>
      <c r="N38" s="93"/>
      <c r="O38" s="93"/>
      <c r="P38" s="93"/>
      <c r="Q38" s="70">
        <f t="shared" ref="Q38:S38" si="2">K38+N38</f>
        <v>334417.60000000009</v>
      </c>
      <c r="R38" s="70">
        <f t="shared" si="2"/>
        <v>0</v>
      </c>
      <c r="S38" s="70">
        <f t="shared" si="2"/>
        <v>0</v>
      </c>
      <c r="T38" s="86"/>
    </row>
    <row r="39" spans="1:20" ht="28.5" x14ac:dyDescent="0.25">
      <c r="B39" s="18" t="s">
        <v>73</v>
      </c>
      <c r="C39" s="51"/>
      <c r="D39" s="51"/>
      <c r="E39" s="52">
        <f t="shared" ref="E39:J39" si="3">SUM(E37:E38)</f>
        <v>0</v>
      </c>
      <c r="F39" s="52">
        <f t="shared" si="3"/>
        <v>0</v>
      </c>
      <c r="G39" s="52">
        <f t="shared" si="3"/>
        <v>0</v>
      </c>
      <c r="H39" s="52">
        <f t="shared" si="3"/>
        <v>-634428.69999999995</v>
      </c>
      <c r="I39" s="52">
        <f t="shared" si="3"/>
        <v>-1112500.1000000001</v>
      </c>
      <c r="J39" s="52">
        <f t="shared" si="3"/>
        <v>-1112500.1000000001</v>
      </c>
      <c r="K39" s="52">
        <f>+K37+K38</f>
        <v>478071.40000000008</v>
      </c>
      <c r="L39" s="52">
        <f>+L37+L38</f>
        <v>0</v>
      </c>
      <c r="M39" s="52">
        <f>+M37+M38</f>
        <v>0</v>
      </c>
      <c r="N39" s="82" t="s">
        <v>2</v>
      </c>
      <c r="O39" s="82" t="s">
        <v>2</v>
      </c>
      <c r="P39" s="82" t="s">
        <v>2</v>
      </c>
      <c r="Q39" s="70" t="s">
        <v>2</v>
      </c>
      <c r="R39" s="70" t="s">
        <v>2</v>
      </c>
      <c r="S39" s="70" t="s">
        <v>2</v>
      </c>
      <c r="T39" s="86"/>
    </row>
    <row r="40" spans="1:20" ht="28.5" x14ac:dyDescent="0.25">
      <c r="B40" s="18" t="s">
        <v>60</v>
      </c>
      <c r="C40" s="51"/>
      <c r="D40" s="51"/>
      <c r="E40" s="52" t="s">
        <v>72</v>
      </c>
      <c r="F40" s="52" t="s">
        <v>72</v>
      </c>
      <c r="G40" s="52" t="s">
        <v>72</v>
      </c>
      <c r="H40" s="52" t="s">
        <v>72</v>
      </c>
      <c r="I40" s="52" t="s">
        <v>72</v>
      </c>
      <c r="J40" s="52" t="s">
        <v>72</v>
      </c>
      <c r="K40" s="52">
        <f>C40</f>
        <v>0</v>
      </c>
      <c r="L40" s="52">
        <f>C40</f>
        <v>0</v>
      </c>
      <c r="M40" s="52">
        <f>C40</f>
        <v>0</v>
      </c>
      <c r="N40" s="82" t="s">
        <v>2</v>
      </c>
      <c r="O40" s="82" t="s">
        <v>2</v>
      </c>
      <c r="P40" s="82" t="s">
        <v>2</v>
      </c>
      <c r="Q40" s="70" t="s">
        <v>2</v>
      </c>
      <c r="R40" s="70" t="s">
        <v>2</v>
      </c>
      <c r="S40" s="70" t="s">
        <v>2</v>
      </c>
      <c r="T40" s="86"/>
    </row>
    <row r="41" spans="1:20" x14ac:dyDescent="0.25">
      <c r="B41" s="18" t="s">
        <v>61</v>
      </c>
      <c r="C41" s="52">
        <f>SUM(C37:C38)</f>
        <v>1112500.1000000001</v>
      </c>
      <c r="D41" s="52">
        <f>SUM(D37:D38)</f>
        <v>462500</v>
      </c>
      <c r="E41" s="52">
        <f>E39</f>
        <v>0</v>
      </c>
      <c r="F41" s="52">
        <f t="shared" ref="F41:J41" si="4">F39</f>
        <v>0</v>
      </c>
      <c r="G41" s="52">
        <f t="shared" si="4"/>
        <v>0</v>
      </c>
      <c r="H41" s="52">
        <f t="shared" si="4"/>
        <v>-634428.69999999995</v>
      </c>
      <c r="I41" s="52">
        <f t="shared" si="4"/>
        <v>-1112500.1000000001</v>
      </c>
      <c r="J41" s="52">
        <f t="shared" si="4"/>
        <v>-1112500.1000000001</v>
      </c>
      <c r="K41" s="82">
        <f>K39+K40</f>
        <v>478071.40000000008</v>
      </c>
      <c r="L41" s="82">
        <f t="shared" ref="L41:M41" si="5">L39+L40</f>
        <v>0</v>
      </c>
      <c r="M41" s="82">
        <f t="shared" si="5"/>
        <v>0</v>
      </c>
      <c r="N41" s="82">
        <f>SUM(N37:N38)</f>
        <v>0</v>
      </c>
      <c r="O41" s="82">
        <f>SUM(O37:O38)</f>
        <v>0</v>
      </c>
      <c r="P41" s="82">
        <f>SUM(P37:P38)</f>
        <v>0</v>
      </c>
      <c r="Q41" s="70">
        <f>K41+N41</f>
        <v>478071.40000000008</v>
      </c>
      <c r="R41" s="70">
        <f>L41+O41</f>
        <v>0</v>
      </c>
      <c r="S41" s="70">
        <f>M41+P41</f>
        <v>0</v>
      </c>
      <c r="T41" s="86"/>
    </row>
    <row r="43" spans="1:20" x14ac:dyDescent="0.25">
      <c r="C43" s="302">
        <v>1071317.55</v>
      </c>
      <c r="D43" s="302">
        <v>0</v>
      </c>
    </row>
  </sheetData>
  <mergeCells count="13">
    <mergeCell ref="Q35:S35"/>
    <mergeCell ref="B31:E31"/>
    <mergeCell ref="B35:B36"/>
    <mergeCell ref="E35:G35"/>
    <mergeCell ref="H35:J35"/>
    <mergeCell ref="K35:M35"/>
    <mergeCell ref="N35:P35"/>
    <mergeCell ref="K17:K18"/>
    <mergeCell ref="B17:B18"/>
    <mergeCell ref="C17:C18"/>
    <mergeCell ref="D17:D18"/>
    <mergeCell ref="E17:E18"/>
    <mergeCell ref="F17:J17"/>
  </mergeCells>
  <dataValidations count="4">
    <dataValidation type="list" allowBlank="1" showInputMessage="1" showErrorMessage="1" sqref="D19:D20" xr:uid="{9C04BA0C-F4AF-427C-8E84-F647CF7032A8}">
      <formula1>$V$2:$V$3</formula1>
    </dataValidation>
    <dataValidation showInputMessage="1" showErrorMessage="1" sqref="E19:E20" xr:uid="{CC51B8F0-E167-4977-A665-8CE6A23CBB8F}"/>
    <dataValidation type="custom" allowBlank="1" showInputMessage="1" showErrorMessage="1" sqref="N37:P38" xr:uid="{49F9F4EA-94B5-4FAC-8D8B-0F4FE6323E0C}">
      <formula1>"-"</formula1>
    </dataValidation>
    <dataValidation type="list" allowBlank="1" showInputMessage="1" showErrorMessage="1" sqref="B13" xr:uid="{996311D1-5AF5-4D5C-A5ED-90ABA5D07A80}">
      <formula1>$U$2:$U$4</formula1>
    </dataValidation>
  </dataValidations>
  <hyperlinks>
    <hyperlink ref="C12" location="_ftn1" display="_ftn1" xr:uid="{56560E4C-097A-44FD-9790-E247FAB9BACD}"/>
    <hyperlink ref="D12" location="_ftn2" display="_ftn2" xr:uid="{216AF6D9-4F7D-4FB7-AE68-3D04B2A76AB1}"/>
    <hyperlink ref="E12" location="_ftn3" display="_ftn3" xr:uid="{89C42DAD-DD81-409B-84BD-D4A512FFAFAF}"/>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0961" r:id="rId3" name="Check Box 1">
              <controlPr defaultSize="0" autoFill="0" autoLine="0" autoPict="0">
                <anchor moveWithCells="1">
                  <from>
                    <xdr:col>1</xdr:col>
                    <xdr:colOff>85725</xdr:colOff>
                    <xdr:row>27</xdr:row>
                    <xdr:rowOff>0</xdr:rowOff>
                  </from>
                  <to>
                    <xdr:col>2</xdr:col>
                    <xdr:colOff>1171575</xdr:colOff>
                    <xdr:row>28</xdr:row>
                    <xdr:rowOff>38100</xdr:rowOff>
                  </to>
                </anchor>
              </controlPr>
            </control>
          </mc:Choice>
        </mc:AlternateContent>
        <mc:AlternateContent xmlns:mc="http://schemas.openxmlformats.org/markup-compatibility/2006">
          <mc:Choice Requires="x14">
            <control shapeId="40962" r:id="rId4" name="Check Box 2">
              <controlPr defaultSize="0" autoFill="0" autoLine="0" autoPict="0">
                <anchor moveWithCells="1">
                  <from>
                    <xdr:col>1</xdr:col>
                    <xdr:colOff>85725</xdr:colOff>
                    <xdr:row>24</xdr:row>
                    <xdr:rowOff>171450</xdr:rowOff>
                  </from>
                  <to>
                    <xdr:col>3</xdr:col>
                    <xdr:colOff>133350</xdr:colOff>
                    <xdr:row>26</xdr:row>
                    <xdr:rowOff>47625</xdr:rowOff>
                  </to>
                </anchor>
              </controlPr>
            </control>
          </mc:Choice>
        </mc:AlternateContent>
        <mc:AlternateContent xmlns:mc="http://schemas.openxmlformats.org/markup-compatibility/2006">
          <mc:Choice Requires="x14">
            <control shapeId="40963" r:id="rId5" name="Check Box 3">
              <controlPr defaultSize="0" autoFill="0" autoLine="0" autoPict="0">
                <anchor moveWithCells="1">
                  <from>
                    <xdr:col>1</xdr:col>
                    <xdr:colOff>85725</xdr:colOff>
                    <xdr:row>26</xdr:row>
                    <xdr:rowOff>28575</xdr:rowOff>
                  </from>
                  <to>
                    <xdr:col>3</xdr:col>
                    <xdr:colOff>133350</xdr:colOff>
                    <xdr:row>27</xdr:row>
                    <xdr:rowOff>9525</xdr:rowOff>
                  </to>
                </anchor>
              </controlPr>
            </control>
          </mc:Choice>
        </mc:AlternateContent>
        <mc:AlternateContent xmlns:mc="http://schemas.openxmlformats.org/markup-compatibility/2006">
          <mc:Choice Requires="x14">
            <control shapeId="40964" r:id="rId6" name="Check Box 4">
              <controlPr defaultSize="0" autoFill="0" autoLine="0" autoPict="0">
                <anchor moveWithCells="1">
                  <from>
                    <xdr:col>1</xdr:col>
                    <xdr:colOff>95250</xdr:colOff>
                    <xdr:row>28</xdr:row>
                    <xdr:rowOff>9525</xdr:rowOff>
                  </from>
                  <to>
                    <xdr:col>2</xdr:col>
                    <xdr:colOff>571500</xdr:colOff>
                    <xdr:row>29</xdr:row>
                    <xdr:rowOff>9525</xdr:rowOff>
                  </to>
                </anchor>
              </controlPr>
            </control>
          </mc:Choice>
        </mc:AlternateContent>
      </controls>
    </mc:Choice>
  </mc:AlternateContent>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209E32-9D32-4629-9B6E-BCB24D484667}">
  <dimension ref="A1:W45"/>
  <sheetViews>
    <sheetView topLeftCell="A28" workbookViewId="0">
      <selection activeCell="C45" sqref="C45:D45"/>
    </sheetView>
  </sheetViews>
  <sheetFormatPr defaultRowHeight="15" x14ac:dyDescent="0.25"/>
  <cols>
    <col min="1" max="1" width="6" customWidth="1"/>
    <col min="2" max="2" width="33.140625" customWidth="1"/>
    <col min="3" max="3" width="24.85546875" customWidth="1"/>
    <col min="4" max="4" width="31.5703125" customWidth="1"/>
    <col min="5" max="5" width="40.28515625" customWidth="1"/>
    <col min="6" max="6" width="28.42578125" customWidth="1"/>
    <col min="7" max="7" width="22.28515625" customWidth="1"/>
    <col min="8" max="8" width="11.85546875" customWidth="1"/>
    <col min="9" max="9" width="12.140625" customWidth="1"/>
    <col min="10" max="10" width="13.85546875" customWidth="1"/>
    <col min="11" max="11" width="25.140625" customWidth="1"/>
    <col min="12" max="12" width="11.85546875" customWidth="1"/>
    <col min="13" max="13" width="8.140625" customWidth="1"/>
    <col min="14" max="14" width="9.5703125" customWidth="1"/>
    <col min="15" max="15" width="8.140625" customWidth="1"/>
    <col min="16" max="16" width="8" customWidth="1"/>
    <col min="17" max="17" width="11"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1187</v>
      </c>
      <c r="E5" s="25" t="s">
        <v>83</v>
      </c>
      <c r="F5" s="20">
        <v>2021</v>
      </c>
      <c r="H5" s="3"/>
      <c r="I5" s="3"/>
      <c r="J5" s="3"/>
    </row>
    <row r="6" spans="1:23" ht="36.75" customHeight="1" x14ac:dyDescent="0.25">
      <c r="B6" s="25" t="s">
        <v>80</v>
      </c>
      <c r="C6" s="29" t="s">
        <v>546</v>
      </c>
      <c r="E6" s="25" t="s">
        <v>84</v>
      </c>
      <c r="F6" s="20">
        <v>2025</v>
      </c>
      <c r="H6" s="3"/>
      <c r="I6" s="3"/>
      <c r="J6" s="3"/>
    </row>
    <row r="7" spans="1:23" ht="18" customHeight="1" x14ac:dyDescent="0.25">
      <c r="B7" s="25" t="s">
        <v>81</v>
      </c>
      <c r="C7" s="20">
        <v>12011</v>
      </c>
      <c r="H7" s="3"/>
      <c r="I7" s="3"/>
      <c r="J7" s="3"/>
    </row>
    <row r="8" spans="1:23" ht="70.5" customHeight="1" x14ac:dyDescent="0.25">
      <c r="B8" s="25" t="s">
        <v>82</v>
      </c>
      <c r="C8" s="29" t="s">
        <v>578</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108.75" x14ac:dyDescent="0.3">
      <c r="B13" s="131" t="s">
        <v>48</v>
      </c>
      <c r="C13" s="133" t="s">
        <v>535</v>
      </c>
      <c r="D13" s="21"/>
      <c r="E13" s="132" t="s">
        <v>579</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1.75" customHeight="1" x14ac:dyDescent="0.25">
      <c r="B17" s="365" t="s">
        <v>89</v>
      </c>
      <c r="C17" s="365" t="s">
        <v>90</v>
      </c>
      <c r="D17" s="365" t="s">
        <v>91</v>
      </c>
      <c r="E17" s="365" t="s">
        <v>92</v>
      </c>
      <c r="F17" s="364" t="s">
        <v>93</v>
      </c>
      <c r="G17" s="364"/>
      <c r="H17" s="364"/>
      <c r="I17" s="364"/>
      <c r="J17" s="364"/>
      <c r="K17" s="364" t="s">
        <v>94</v>
      </c>
    </row>
    <row r="18" spans="1:11" ht="21" customHeight="1" x14ac:dyDescent="0.25">
      <c r="B18" s="365"/>
      <c r="C18" s="365"/>
      <c r="D18" s="365"/>
      <c r="E18" s="365"/>
      <c r="F18" s="27" t="s">
        <v>51</v>
      </c>
      <c r="G18" s="27" t="s">
        <v>52</v>
      </c>
      <c r="H18" s="27" t="s">
        <v>0</v>
      </c>
      <c r="I18" s="27" t="s">
        <v>1</v>
      </c>
      <c r="J18" s="27" t="s">
        <v>3</v>
      </c>
      <c r="K18" s="364"/>
    </row>
    <row r="19" spans="1:11" ht="33" customHeight="1" x14ac:dyDescent="0.25">
      <c r="B19" s="133" t="s">
        <v>580</v>
      </c>
      <c r="C19" s="21" t="s">
        <v>376</v>
      </c>
      <c r="D19" s="21" t="s">
        <v>47</v>
      </c>
      <c r="E19" s="21" t="s">
        <v>341</v>
      </c>
      <c r="F19" s="216">
        <v>2.04</v>
      </c>
      <c r="G19" s="21">
        <v>3.05</v>
      </c>
      <c r="H19" s="136">
        <v>1.7</v>
      </c>
      <c r="I19" s="21">
        <v>0</v>
      </c>
      <c r="J19" s="21">
        <v>0</v>
      </c>
      <c r="K19" s="21"/>
    </row>
    <row r="20" spans="1:11" ht="33" customHeight="1" x14ac:dyDescent="0.25">
      <c r="B20" s="133"/>
      <c r="C20" s="21"/>
      <c r="D20" s="21"/>
      <c r="E20" s="21"/>
      <c r="F20" s="21"/>
      <c r="G20" s="21"/>
      <c r="H20" s="21"/>
      <c r="I20" s="21">
        <v>0</v>
      </c>
      <c r="J20" s="21">
        <v>0</v>
      </c>
      <c r="K20" s="21"/>
    </row>
    <row r="21" spans="1:11" ht="39.75" customHeight="1" x14ac:dyDescent="0.25"/>
    <row r="22" spans="1:11" ht="17.25" x14ac:dyDescent="0.25">
      <c r="B22" s="3"/>
      <c r="C22" s="3"/>
      <c r="D22" s="3"/>
      <c r="E22" s="3"/>
      <c r="F22" s="3"/>
      <c r="G22" s="3"/>
      <c r="H22" s="3"/>
      <c r="I22" s="3"/>
      <c r="J22" s="3"/>
    </row>
    <row r="23" spans="1:11" ht="15.75" x14ac:dyDescent="0.25">
      <c r="A23" s="12" t="s">
        <v>53</v>
      </c>
      <c r="C23" s="13"/>
      <c r="D23" s="13"/>
      <c r="E23" s="13"/>
      <c r="F23" s="13"/>
      <c r="G23" s="13"/>
      <c r="H23" s="13"/>
      <c r="I23" s="13"/>
      <c r="J23" s="13"/>
    </row>
    <row r="24" spans="1:11" x14ac:dyDescent="0.25">
      <c r="A24" s="14"/>
      <c r="C24" s="15"/>
      <c r="D24" s="15"/>
      <c r="E24" s="15"/>
      <c r="F24" s="15"/>
      <c r="G24" s="15"/>
      <c r="H24" s="15"/>
      <c r="I24" s="15"/>
      <c r="J24" s="15"/>
    </row>
    <row r="25" spans="1:11" x14ac:dyDescent="0.25">
      <c r="A25" s="16" t="s">
        <v>54</v>
      </c>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B29" s="17"/>
      <c r="C29" s="17"/>
      <c r="D29" s="17"/>
      <c r="E29" s="13"/>
      <c r="F29" s="13"/>
      <c r="G29" s="13"/>
      <c r="H29" s="13"/>
      <c r="I29" s="13"/>
      <c r="J29" s="13"/>
    </row>
    <row r="30" spans="1:11" x14ac:dyDescent="0.25">
      <c r="A30" s="16" t="s">
        <v>55</v>
      </c>
      <c r="E30" s="13"/>
      <c r="F30" s="13"/>
      <c r="G30" s="13"/>
      <c r="H30" s="13"/>
      <c r="I30" s="13"/>
      <c r="J30" s="13"/>
    </row>
    <row r="31" spans="1:11" ht="62.25" customHeight="1" x14ac:dyDescent="0.25">
      <c r="B31" s="360" t="s">
        <v>178</v>
      </c>
      <c r="C31" s="361"/>
      <c r="D31" s="361"/>
      <c r="E31" s="362"/>
      <c r="F31" s="13"/>
      <c r="G31" s="13"/>
      <c r="H31" s="13"/>
      <c r="I31" s="13"/>
      <c r="J31" s="13"/>
    </row>
    <row r="32" spans="1:11" ht="17.25" x14ac:dyDescent="0.25">
      <c r="B32" s="3"/>
      <c r="C32" s="3"/>
      <c r="D32" s="3"/>
      <c r="E32" s="13"/>
      <c r="F32" s="13"/>
      <c r="G32" s="13"/>
      <c r="H32" s="13"/>
      <c r="I32" s="13"/>
      <c r="J32" s="13"/>
    </row>
    <row r="33" spans="1:19" x14ac:dyDescent="0.25">
      <c r="A33" s="7" t="s">
        <v>56</v>
      </c>
    </row>
    <row r="35" spans="1:19" ht="43.5" customHeight="1" x14ac:dyDescent="0.25">
      <c r="B35" s="363" t="s">
        <v>95</v>
      </c>
      <c r="C35" s="4" t="s">
        <v>96</v>
      </c>
      <c r="D35" s="4" t="s">
        <v>97</v>
      </c>
      <c r="E35" s="358" t="s">
        <v>98</v>
      </c>
      <c r="F35" s="358"/>
      <c r="G35" s="358"/>
      <c r="H35" s="358" t="s">
        <v>99</v>
      </c>
      <c r="I35" s="358"/>
      <c r="J35" s="358"/>
      <c r="K35" s="358" t="s">
        <v>100</v>
      </c>
      <c r="L35" s="358"/>
      <c r="M35" s="358"/>
      <c r="N35" s="358" t="s">
        <v>101</v>
      </c>
      <c r="O35" s="358"/>
      <c r="P35" s="358"/>
      <c r="Q35" s="359" t="s">
        <v>102</v>
      </c>
      <c r="R35" s="359"/>
      <c r="S35" s="359"/>
    </row>
    <row r="36" spans="1:19" ht="30" customHeight="1" x14ac:dyDescent="0.25">
      <c r="B36" s="363"/>
      <c r="C36" s="4" t="s">
        <v>35</v>
      </c>
      <c r="D36" s="4" t="s">
        <v>36</v>
      </c>
      <c r="E36" s="19" t="s">
        <v>0</v>
      </c>
      <c r="F36" s="19" t="s">
        <v>1</v>
      </c>
      <c r="G36" s="19" t="s">
        <v>3</v>
      </c>
      <c r="H36" s="19" t="s">
        <v>0</v>
      </c>
      <c r="I36" s="19" t="s">
        <v>1</v>
      </c>
      <c r="J36" s="19" t="s">
        <v>3</v>
      </c>
      <c r="K36" s="19" t="s">
        <v>39</v>
      </c>
      <c r="L36" s="19" t="s">
        <v>38</v>
      </c>
      <c r="M36" s="19" t="s">
        <v>37</v>
      </c>
      <c r="N36" s="19" t="s">
        <v>39</v>
      </c>
      <c r="O36" s="19" t="s">
        <v>38</v>
      </c>
      <c r="P36" s="19" t="s">
        <v>37</v>
      </c>
      <c r="Q36" s="26" t="s">
        <v>0</v>
      </c>
      <c r="R36" s="26" t="s">
        <v>1</v>
      </c>
      <c r="S36" s="26" t="s">
        <v>3</v>
      </c>
    </row>
    <row r="37" spans="1:19" ht="17.25" customHeight="1" x14ac:dyDescent="0.25">
      <c r="B37" s="22" t="s">
        <v>560</v>
      </c>
      <c r="C37" s="51">
        <v>41520</v>
      </c>
      <c r="D37" s="51">
        <v>73312</v>
      </c>
      <c r="E37" s="93"/>
      <c r="F37" s="93"/>
      <c r="G37" s="93"/>
      <c r="H37" s="93"/>
      <c r="I37" s="93">
        <v>-41520</v>
      </c>
      <c r="J37" s="93">
        <v>-41520</v>
      </c>
      <c r="K37" s="52">
        <f>C37+E37+H37</f>
        <v>41520</v>
      </c>
      <c r="L37" s="52">
        <f>C37+F37+I37</f>
        <v>0</v>
      </c>
      <c r="M37" s="52">
        <f>C37+G37+J37</f>
        <v>0</v>
      </c>
      <c r="N37" s="93"/>
      <c r="O37" s="93"/>
      <c r="P37" s="93"/>
      <c r="Q37" s="70">
        <f>K37+N37</f>
        <v>41520</v>
      </c>
      <c r="R37" s="26">
        <f>L37+O37</f>
        <v>0</v>
      </c>
      <c r="S37" s="26">
        <f>M37+P37</f>
        <v>0</v>
      </c>
    </row>
    <row r="38" spans="1:19" ht="17.25" customHeight="1" x14ac:dyDescent="0.25">
      <c r="B38" s="22" t="s">
        <v>561</v>
      </c>
      <c r="C38" s="51">
        <v>317034</v>
      </c>
      <c r="D38" s="51">
        <v>308189.7</v>
      </c>
      <c r="E38" s="93"/>
      <c r="F38" s="93"/>
      <c r="G38" s="93"/>
      <c r="H38" s="93">
        <v>-59759</v>
      </c>
      <c r="I38" s="93">
        <v>-317034</v>
      </c>
      <c r="J38" s="93">
        <v>-317034</v>
      </c>
      <c r="K38" s="52">
        <f>C38+E38+H38</f>
        <v>257275</v>
      </c>
      <c r="L38" s="52">
        <f>C38+F38+I38</f>
        <v>0</v>
      </c>
      <c r="M38" s="52">
        <f>C38+G38+J38</f>
        <v>0</v>
      </c>
      <c r="N38" s="93"/>
      <c r="O38" s="93"/>
      <c r="P38" s="93"/>
      <c r="Q38" s="70">
        <f t="shared" ref="Q38:S40" si="0">K38+N38</f>
        <v>257275</v>
      </c>
      <c r="R38" s="26">
        <f t="shared" si="0"/>
        <v>0</v>
      </c>
      <c r="S38" s="26">
        <f t="shared" si="0"/>
        <v>0</v>
      </c>
    </row>
    <row r="39" spans="1:19" x14ac:dyDescent="0.25">
      <c r="B39" s="22"/>
      <c r="C39" s="51"/>
      <c r="D39" s="51"/>
      <c r="E39" s="93"/>
      <c r="F39" s="93"/>
      <c r="G39" s="93"/>
      <c r="H39" s="93"/>
      <c r="I39" s="93"/>
      <c r="J39" s="93"/>
      <c r="K39" s="52">
        <f>C40+E39+H39</f>
        <v>0</v>
      </c>
      <c r="L39" s="52">
        <f t="shared" ref="K39:M40" si="1">D39+F39+I39</f>
        <v>0</v>
      </c>
      <c r="M39" s="52">
        <f t="shared" si="1"/>
        <v>0</v>
      </c>
      <c r="N39" s="93"/>
      <c r="O39" s="93"/>
      <c r="P39" s="93"/>
      <c r="Q39" s="70">
        <f t="shared" si="0"/>
        <v>0</v>
      </c>
      <c r="R39" s="26">
        <f t="shared" si="0"/>
        <v>0</v>
      </c>
      <c r="S39" s="26">
        <f t="shared" si="0"/>
        <v>0</v>
      </c>
    </row>
    <row r="40" spans="1:19" x14ac:dyDescent="0.25">
      <c r="B40" s="22"/>
      <c r="C40" s="51"/>
      <c r="D40" s="51"/>
      <c r="E40" s="93"/>
      <c r="F40" s="93"/>
      <c r="G40" s="93"/>
      <c r="H40" s="93"/>
      <c r="I40" s="93"/>
      <c r="J40" s="93"/>
      <c r="K40" s="52">
        <f t="shared" si="1"/>
        <v>0</v>
      </c>
      <c r="L40" s="52">
        <f t="shared" si="1"/>
        <v>0</v>
      </c>
      <c r="M40" s="52">
        <f t="shared" si="1"/>
        <v>0</v>
      </c>
      <c r="N40" s="93"/>
      <c r="O40" s="93"/>
      <c r="P40" s="93"/>
      <c r="Q40" s="70">
        <f t="shared" si="0"/>
        <v>0</v>
      </c>
      <c r="R40" s="26">
        <f t="shared" si="0"/>
        <v>0</v>
      </c>
      <c r="S40" s="26">
        <f t="shared" si="0"/>
        <v>0</v>
      </c>
    </row>
    <row r="41" spans="1:19" ht="28.5" x14ac:dyDescent="0.25">
      <c r="B41" s="18" t="s">
        <v>73</v>
      </c>
      <c r="C41" s="51">
        <f>+C37+C38+C39+C40</f>
        <v>358554</v>
      </c>
      <c r="D41" s="51">
        <f>+D37+D38+D39+D40</f>
        <v>381501.7</v>
      </c>
      <c r="E41" s="52">
        <f>SUM(E37:E40)</f>
        <v>0</v>
      </c>
      <c r="F41" s="52">
        <f t="shared" ref="F41:J41" si="2">SUM(F37:F40)</f>
        <v>0</v>
      </c>
      <c r="G41" s="52">
        <f t="shared" si="2"/>
        <v>0</v>
      </c>
      <c r="H41" s="52">
        <f>SUM(H37:H40)</f>
        <v>-59759</v>
      </c>
      <c r="I41" s="52">
        <f t="shared" si="2"/>
        <v>-358554</v>
      </c>
      <c r="J41" s="52">
        <f t="shared" si="2"/>
        <v>-358554</v>
      </c>
      <c r="K41" s="52">
        <f>C41+E41+H41</f>
        <v>298795</v>
      </c>
      <c r="L41" s="52">
        <f>C41+F41+I41</f>
        <v>0</v>
      </c>
      <c r="M41" s="52">
        <f>C41+G41+J41</f>
        <v>0</v>
      </c>
      <c r="N41" s="82" t="s">
        <v>2</v>
      </c>
      <c r="O41" s="82" t="s">
        <v>2</v>
      </c>
      <c r="P41" s="82" t="s">
        <v>2</v>
      </c>
      <c r="Q41" s="70" t="s">
        <v>2</v>
      </c>
      <c r="R41" s="26" t="s">
        <v>2</v>
      </c>
      <c r="S41" s="26" t="s">
        <v>2</v>
      </c>
    </row>
    <row r="42" spans="1:19" ht="28.5" x14ac:dyDescent="0.25">
      <c r="B42" s="18" t="s">
        <v>60</v>
      </c>
      <c r="C42" s="51"/>
      <c r="D42" s="51"/>
      <c r="E42" s="52" t="s">
        <v>72</v>
      </c>
      <c r="F42" s="52" t="s">
        <v>72</v>
      </c>
      <c r="G42" s="52" t="s">
        <v>72</v>
      </c>
      <c r="H42" s="52" t="s">
        <v>72</v>
      </c>
      <c r="I42" s="52" t="s">
        <v>72</v>
      </c>
      <c r="J42" s="52" t="s">
        <v>72</v>
      </c>
      <c r="K42" s="52">
        <f>C42</f>
        <v>0</v>
      </c>
      <c r="L42" s="52">
        <f>C42</f>
        <v>0</v>
      </c>
      <c r="M42" s="52">
        <f>C42</f>
        <v>0</v>
      </c>
      <c r="N42" s="82" t="s">
        <v>2</v>
      </c>
      <c r="O42" s="82" t="s">
        <v>2</v>
      </c>
      <c r="P42" s="82" t="s">
        <v>2</v>
      </c>
      <c r="Q42" s="70" t="s">
        <v>2</v>
      </c>
      <c r="R42" s="26" t="s">
        <v>2</v>
      </c>
      <c r="S42" s="26" t="s">
        <v>2</v>
      </c>
    </row>
    <row r="43" spans="1:19" x14ac:dyDescent="0.25">
      <c r="B43" s="18" t="s">
        <v>61</v>
      </c>
      <c r="C43" s="52">
        <f>+C41+C42</f>
        <v>358554</v>
      </c>
      <c r="D43" s="52">
        <f>+D41+D42</f>
        <v>381501.7</v>
      </c>
      <c r="E43" s="52">
        <f>E41</f>
        <v>0</v>
      </c>
      <c r="F43" s="52">
        <f t="shared" ref="F43:J43" si="3">F41</f>
        <v>0</v>
      </c>
      <c r="G43" s="52">
        <f t="shared" si="3"/>
        <v>0</v>
      </c>
      <c r="H43" s="52">
        <f t="shared" si="3"/>
        <v>-59759</v>
      </c>
      <c r="I43" s="52">
        <f t="shared" si="3"/>
        <v>-358554</v>
      </c>
      <c r="J43" s="52">
        <f t="shared" si="3"/>
        <v>-358554</v>
      </c>
      <c r="K43" s="82">
        <f>K41+K42</f>
        <v>298795</v>
      </c>
      <c r="L43" s="82">
        <f t="shared" ref="L43:M43" si="4">L41+L42</f>
        <v>0</v>
      </c>
      <c r="M43" s="82">
        <f t="shared" si="4"/>
        <v>0</v>
      </c>
      <c r="N43" s="82">
        <f>SUM(N37:N40)</f>
        <v>0</v>
      </c>
      <c r="O43" s="82">
        <f t="shared" ref="O43:P43" si="5">SUM(O37:O40)</f>
        <v>0</v>
      </c>
      <c r="P43" s="82">
        <f t="shared" si="5"/>
        <v>0</v>
      </c>
      <c r="Q43" s="70">
        <f>K43+N43</f>
        <v>298795</v>
      </c>
      <c r="R43" s="26">
        <f>L43+O43</f>
        <v>0</v>
      </c>
      <c r="S43" s="26">
        <f>M43+P43</f>
        <v>0</v>
      </c>
    </row>
    <row r="45" spans="1:19" x14ac:dyDescent="0.25">
      <c r="C45" s="302">
        <v>0</v>
      </c>
      <c r="D45" s="302">
        <v>0</v>
      </c>
    </row>
  </sheetData>
  <mergeCells count="13">
    <mergeCell ref="Q35:S35"/>
    <mergeCell ref="B31:E31"/>
    <mergeCell ref="B35:B36"/>
    <mergeCell ref="E35:G35"/>
    <mergeCell ref="H35:J35"/>
    <mergeCell ref="K35:M35"/>
    <mergeCell ref="N35:P35"/>
    <mergeCell ref="K17:K18"/>
    <mergeCell ref="B17:B18"/>
    <mergeCell ref="C17:C18"/>
    <mergeCell ref="D17:D18"/>
    <mergeCell ref="E17:E18"/>
    <mergeCell ref="F17:J17"/>
  </mergeCells>
  <dataValidations count="4">
    <dataValidation type="list" allowBlank="1" showInputMessage="1" showErrorMessage="1" sqref="D19:D20" xr:uid="{F8283397-33A6-41BE-BD21-9303A5940290}">
      <formula1>$V$2:$V$3</formula1>
    </dataValidation>
    <dataValidation showInputMessage="1" showErrorMessage="1" sqref="E19:E20" xr:uid="{363DE5FB-D6E5-4A87-BBF4-B79991378177}"/>
    <dataValidation type="custom" allowBlank="1" showInputMessage="1" showErrorMessage="1" sqref="N37:P40" xr:uid="{6E89FB92-B620-416A-A30D-F0C99F8F99C2}">
      <formula1>"-"</formula1>
    </dataValidation>
    <dataValidation type="list" allowBlank="1" showInputMessage="1" showErrorMessage="1" sqref="B13" xr:uid="{7D805472-24EF-4784-BA64-EEC83BEAB25D}">
      <formula1>$U$2:$U$4</formula1>
    </dataValidation>
  </dataValidations>
  <hyperlinks>
    <hyperlink ref="C12" location="_ftn1" display="_ftn1" xr:uid="{254A3AFA-9C3F-4C7D-86C5-2C3B524C9468}"/>
    <hyperlink ref="D12" location="_ftn2" display="_ftn2" xr:uid="{A7BB3790-F24B-4797-AFE3-A6D4D9554B8A}"/>
    <hyperlink ref="E12" location="_ftn3" display="_ftn3" xr:uid="{774B3CDC-A148-4498-9401-96E578B5F9AE}"/>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5057" r:id="rId3" name="Check Box 1">
              <controlPr defaultSize="0" autoFill="0" autoLine="0" autoPict="0">
                <anchor moveWithCells="1">
                  <from>
                    <xdr:col>1</xdr:col>
                    <xdr:colOff>85725</xdr:colOff>
                    <xdr:row>27</xdr:row>
                    <xdr:rowOff>0</xdr:rowOff>
                  </from>
                  <to>
                    <xdr:col>2</xdr:col>
                    <xdr:colOff>1171575</xdr:colOff>
                    <xdr:row>28</xdr:row>
                    <xdr:rowOff>38100</xdr:rowOff>
                  </to>
                </anchor>
              </controlPr>
            </control>
          </mc:Choice>
        </mc:AlternateContent>
        <mc:AlternateContent xmlns:mc="http://schemas.openxmlformats.org/markup-compatibility/2006">
          <mc:Choice Requires="x14">
            <control shapeId="45058" r:id="rId4" name="Check Box 2">
              <controlPr defaultSize="0" autoFill="0" autoLine="0" autoPict="0">
                <anchor moveWithCells="1">
                  <from>
                    <xdr:col>1</xdr:col>
                    <xdr:colOff>85725</xdr:colOff>
                    <xdr:row>24</xdr:row>
                    <xdr:rowOff>171450</xdr:rowOff>
                  </from>
                  <to>
                    <xdr:col>3</xdr:col>
                    <xdr:colOff>266700</xdr:colOff>
                    <xdr:row>26</xdr:row>
                    <xdr:rowOff>47625</xdr:rowOff>
                  </to>
                </anchor>
              </controlPr>
            </control>
          </mc:Choice>
        </mc:AlternateContent>
        <mc:AlternateContent xmlns:mc="http://schemas.openxmlformats.org/markup-compatibility/2006">
          <mc:Choice Requires="x14">
            <control shapeId="45059" r:id="rId5" name="Check Box 3">
              <controlPr defaultSize="0" autoFill="0" autoLine="0" autoPict="0">
                <anchor moveWithCells="1">
                  <from>
                    <xdr:col>1</xdr:col>
                    <xdr:colOff>85725</xdr:colOff>
                    <xdr:row>26</xdr:row>
                    <xdr:rowOff>28575</xdr:rowOff>
                  </from>
                  <to>
                    <xdr:col>3</xdr:col>
                    <xdr:colOff>266700</xdr:colOff>
                    <xdr:row>27</xdr:row>
                    <xdr:rowOff>9525</xdr:rowOff>
                  </to>
                </anchor>
              </controlPr>
            </control>
          </mc:Choice>
        </mc:AlternateContent>
        <mc:AlternateContent xmlns:mc="http://schemas.openxmlformats.org/markup-compatibility/2006">
          <mc:Choice Requires="x14">
            <control shapeId="45060" r:id="rId6" name="Check Box 4">
              <controlPr defaultSize="0" autoFill="0" autoLine="0" autoPict="0">
                <anchor moveWithCells="1">
                  <from>
                    <xdr:col>1</xdr:col>
                    <xdr:colOff>95250</xdr:colOff>
                    <xdr:row>28</xdr:row>
                    <xdr:rowOff>9525</xdr:rowOff>
                  </from>
                  <to>
                    <xdr:col>2</xdr:col>
                    <xdr:colOff>571500</xdr:colOff>
                    <xdr:row>29</xdr:row>
                    <xdr:rowOff>9525</xdr:rowOff>
                  </to>
                </anchor>
              </controlPr>
            </control>
          </mc:Choice>
        </mc:AlternateContent>
      </controls>
    </mc:Choice>
  </mc:AlternateContent>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D99A1-EEA9-42BA-849C-513688501A08}">
  <dimension ref="A1:W45"/>
  <sheetViews>
    <sheetView topLeftCell="D28" workbookViewId="0">
      <selection activeCell="M52" sqref="M52"/>
    </sheetView>
  </sheetViews>
  <sheetFormatPr defaultRowHeight="15" x14ac:dyDescent="0.25"/>
  <cols>
    <col min="1" max="1" width="6" customWidth="1"/>
    <col min="2" max="2" width="33.140625" customWidth="1"/>
    <col min="3" max="3" width="36.85546875" customWidth="1"/>
    <col min="4" max="4" width="23.5703125" customWidth="1"/>
    <col min="5" max="5" width="34.5703125" customWidth="1"/>
    <col min="6" max="6" width="22.28515625" customWidth="1"/>
    <col min="7" max="7" width="17.140625" customWidth="1"/>
    <col min="8" max="9" width="10.42578125" customWidth="1"/>
    <col min="10" max="10" width="10.85546875" customWidth="1"/>
    <col min="11" max="11" width="40.5703125" customWidth="1"/>
    <col min="12" max="12" width="11.7109375" customWidth="1"/>
    <col min="13" max="13" width="15.7109375" customWidth="1"/>
    <col min="14" max="14" width="9.5703125" customWidth="1"/>
    <col min="15" max="15" width="8.140625" customWidth="1"/>
    <col min="16" max="16" width="8" customWidth="1"/>
    <col min="18" max="18" width="9.85546875"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1187</v>
      </c>
      <c r="E5" s="25" t="s">
        <v>83</v>
      </c>
      <c r="F5" s="20" t="s">
        <v>643</v>
      </c>
      <c r="H5" s="3"/>
      <c r="I5" s="3"/>
      <c r="J5" s="3"/>
    </row>
    <row r="6" spans="1:23" ht="41.25" customHeight="1" x14ac:dyDescent="0.25">
      <c r="B6" s="25" t="s">
        <v>80</v>
      </c>
      <c r="C6" s="29" t="s">
        <v>326</v>
      </c>
      <c r="E6" s="25" t="s">
        <v>84</v>
      </c>
      <c r="F6" s="20" t="s">
        <v>644</v>
      </c>
      <c r="H6" s="3"/>
      <c r="I6" s="3"/>
      <c r="J6" s="3"/>
    </row>
    <row r="7" spans="1:23" ht="21" customHeight="1" x14ac:dyDescent="0.25">
      <c r="B7" s="25" t="s">
        <v>81</v>
      </c>
      <c r="C7" s="20">
        <v>12012</v>
      </c>
      <c r="H7" s="3"/>
      <c r="I7" s="3"/>
      <c r="J7" s="3"/>
    </row>
    <row r="8" spans="1:23" ht="72" customHeight="1" x14ac:dyDescent="0.25">
      <c r="B8" s="25" t="s">
        <v>82</v>
      </c>
      <c r="C8" s="29" t="s">
        <v>645</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82.5" x14ac:dyDescent="0.25">
      <c r="B12" s="10" t="s">
        <v>85</v>
      </c>
      <c r="C12" s="28" t="s">
        <v>86</v>
      </c>
      <c r="D12" s="28" t="s">
        <v>87</v>
      </c>
      <c r="E12" s="28" t="s">
        <v>88</v>
      </c>
      <c r="F12" s="3"/>
      <c r="G12" s="3"/>
      <c r="H12" s="3"/>
      <c r="I12" s="3"/>
      <c r="J12" s="3"/>
    </row>
    <row r="13" spans="1:23" ht="49.5" customHeight="1" x14ac:dyDescent="0.3">
      <c r="B13" s="21" t="s">
        <v>46</v>
      </c>
      <c r="C13" s="133" t="s">
        <v>646</v>
      </c>
      <c r="D13" s="133"/>
      <c r="E13" s="21" t="s">
        <v>647</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15" customHeight="1" x14ac:dyDescent="0.25">
      <c r="B17" s="365" t="s">
        <v>89</v>
      </c>
      <c r="C17" s="365" t="s">
        <v>90</v>
      </c>
      <c r="D17" s="365" t="s">
        <v>91</v>
      </c>
      <c r="E17" s="365" t="s">
        <v>92</v>
      </c>
      <c r="F17" s="364" t="s">
        <v>93</v>
      </c>
      <c r="G17" s="364"/>
      <c r="H17" s="364"/>
      <c r="I17" s="364"/>
      <c r="J17" s="364"/>
      <c r="K17" s="364" t="s">
        <v>94</v>
      </c>
    </row>
    <row r="18" spans="1:11" ht="30.75" customHeight="1" x14ac:dyDescent="0.25">
      <c r="B18" s="365"/>
      <c r="C18" s="365"/>
      <c r="D18" s="365"/>
      <c r="E18" s="365"/>
      <c r="F18" s="27" t="s">
        <v>51</v>
      </c>
      <c r="G18" s="27" t="s">
        <v>52</v>
      </c>
      <c r="H18" s="27" t="s">
        <v>0</v>
      </c>
      <c r="I18" s="27" t="s">
        <v>1</v>
      </c>
      <c r="J18" s="27" t="s">
        <v>3</v>
      </c>
      <c r="K18" s="364"/>
    </row>
    <row r="19" spans="1:11" ht="130.5" customHeight="1" x14ac:dyDescent="0.25">
      <c r="B19" s="133" t="s">
        <v>648</v>
      </c>
      <c r="C19" s="21" t="s">
        <v>577</v>
      </c>
      <c r="D19" s="21" t="s">
        <v>47</v>
      </c>
      <c r="E19" s="133" t="s">
        <v>649</v>
      </c>
      <c r="F19" s="209">
        <v>227</v>
      </c>
      <c r="G19" s="209">
        <v>1000</v>
      </c>
      <c r="H19" s="209" t="s">
        <v>72</v>
      </c>
      <c r="I19" s="209" t="s">
        <v>72</v>
      </c>
      <c r="J19" s="209" t="s">
        <v>2</v>
      </c>
      <c r="K19" s="223" t="s">
        <v>650</v>
      </c>
    </row>
    <row r="20" spans="1:11" ht="86.25" customHeight="1" x14ac:dyDescent="0.25">
      <c r="B20" s="133" t="s">
        <v>651</v>
      </c>
      <c r="C20" s="21" t="s">
        <v>323</v>
      </c>
      <c r="D20" s="21" t="s">
        <v>47</v>
      </c>
      <c r="E20" s="133" t="s">
        <v>649</v>
      </c>
      <c r="F20" s="209">
        <v>12</v>
      </c>
      <c r="G20" s="209">
        <v>12</v>
      </c>
      <c r="H20" s="209">
        <v>12</v>
      </c>
      <c r="I20" s="209">
        <v>12</v>
      </c>
      <c r="J20" s="209" t="s">
        <v>2</v>
      </c>
      <c r="K20" s="224" t="s">
        <v>652</v>
      </c>
    </row>
    <row r="21" spans="1:11" ht="156" customHeight="1" x14ac:dyDescent="0.25">
      <c r="B21" s="21" t="s">
        <v>651</v>
      </c>
      <c r="C21" s="21" t="s">
        <v>323</v>
      </c>
      <c r="D21" s="21" t="s">
        <v>47</v>
      </c>
      <c r="E21" s="133" t="s">
        <v>649</v>
      </c>
      <c r="F21" s="209">
        <v>14</v>
      </c>
      <c r="G21" s="209">
        <v>14</v>
      </c>
      <c r="H21" s="209">
        <v>14</v>
      </c>
      <c r="I21" s="209">
        <v>14</v>
      </c>
      <c r="J21" s="209" t="s">
        <v>2</v>
      </c>
      <c r="K21" s="224" t="s">
        <v>641</v>
      </c>
    </row>
    <row r="22" spans="1:11" ht="73.5" customHeight="1" x14ac:dyDescent="0.25">
      <c r="B22" s="21" t="s">
        <v>651</v>
      </c>
      <c r="C22" s="21" t="s">
        <v>323</v>
      </c>
      <c r="D22" s="21" t="s">
        <v>47</v>
      </c>
      <c r="E22" s="133" t="s">
        <v>649</v>
      </c>
      <c r="F22" s="209">
        <v>14</v>
      </c>
      <c r="G22" s="209">
        <v>14</v>
      </c>
      <c r="H22" s="209">
        <v>14</v>
      </c>
      <c r="I22" s="209">
        <v>14</v>
      </c>
      <c r="J22" s="209" t="s">
        <v>2</v>
      </c>
      <c r="K22" s="225" t="s">
        <v>642</v>
      </c>
    </row>
    <row r="23" spans="1:11" ht="17.25" x14ac:dyDescent="0.25">
      <c r="B23" s="3"/>
      <c r="C23" s="3"/>
      <c r="D23" s="3"/>
      <c r="E23" s="3"/>
      <c r="F23" s="3"/>
      <c r="G23" s="3"/>
      <c r="H23" s="3"/>
      <c r="I23" s="3"/>
      <c r="J23" s="3"/>
    </row>
    <row r="24" spans="1:11" ht="15.75" x14ac:dyDescent="0.25">
      <c r="A24" s="12" t="s">
        <v>53</v>
      </c>
      <c r="C24" s="13"/>
      <c r="D24" s="13"/>
      <c r="E24" s="13"/>
      <c r="F24" s="13"/>
      <c r="G24" s="13"/>
      <c r="H24" s="13"/>
      <c r="I24" s="13"/>
      <c r="J24" s="13"/>
    </row>
    <row r="25" spans="1:11" x14ac:dyDescent="0.25">
      <c r="A25" s="14"/>
      <c r="C25" s="15"/>
      <c r="D25" s="15"/>
      <c r="E25" s="15"/>
      <c r="F25" s="15"/>
      <c r="G25" s="15"/>
      <c r="H25" s="15"/>
      <c r="I25" s="15"/>
      <c r="J25" s="15"/>
    </row>
    <row r="26" spans="1:11" x14ac:dyDescent="0.25">
      <c r="A26" s="16" t="s">
        <v>54</v>
      </c>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B29" s="17"/>
      <c r="C29" s="17"/>
      <c r="D29" s="17"/>
      <c r="E29" s="13"/>
      <c r="F29" s="13"/>
      <c r="G29" s="13"/>
      <c r="H29" s="13"/>
      <c r="I29" s="13"/>
      <c r="J29" s="13"/>
    </row>
    <row r="30" spans="1:11" x14ac:dyDescent="0.25">
      <c r="B30" s="17"/>
      <c r="C30" s="17"/>
      <c r="D30" s="17"/>
      <c r="E30" s="13"/>
      <c r="F30" s="13"/>
      <c r="G30" s="13"/>
      <c r="H30" s="13"/>
      <c r="I30" s="13"/>
      <c r="J30" s="13"/>
    </row>
    <row r="31" spans="1:11" x14ac:dyDescent="0.25">
      <c r="A31" s="16" t="s">
        <v>55</v>
      </c>
      <c r="E31" s="13"/>
      <c r="F31" s="13"/>
      <c r="G31" s="13"/>
      <c r="H31" s="13"/>
      <c r="I31" s="13"/>
      <c r="J31" s="13"/>
    </row>
    <row r="32" spans="1:11" ht="62.25" customHeight="1" x14ac:dyDescent="0.25">
      <c r="B32" s="360"/>
      <c r="C32" s="361"/>
      <c r="D32" s="361"/>
      <c r="E32" s="362"/>
      <c r="F32" s="13"/>
      <c r="G32" s="13"/>
      <c r="H32" s="13"/>
      <c r="I32" s="13"/>
      <c r="J32" s="13"/>
    </row>
    <row r="33" spans="1:19" ht="17.25" x14ac:dyDescent="0.25">
      <c r="B33" s="3"/>
      <c r="C33" s="3"/>
      <c r="D33" s="3"/>
      <c r="E33" s="13"/>
      <c r="F33" s="13"/>
      <c r="G33" s="13"/>
      <c r="H33" s="13"/>
      <c r="I33" s="13"/>
      <c r="J33" s="13"/>
    </row>
    <row r="34" spans="1:19" x14ac:dyDescent="0.25">
      <c r="A34" s="7" t="s">
        <v>56</v>
      </c>
    </row>
    <row r="36" spans="1:19" ht="43.5" customHeight="1" x14ac:dyDescent="0.25">
      <c r="B36" s="363" t="s">
        <v>95</v>
      </c>
      <c r="C36" s="4" t="s">
        <v>96</v>
      </c>
      <c r="D36" s="4" t="s">
        <v>97</v>
      </c>
      <c r="E36" s="358" t="s">
        <v>98</v>
      </c>
      <c r="F36" s="358"/>
      <c r="G36" s="358"/>
      <c r="H36" s="358" t="s">
        <v>99</v>
      </c>
      <c r="I36" s="358"/>
      <c r="J36" s="358"/>
      <c r="K36" s="358" t="s">
        <v>100</v>
      </c>
      <c r="L36" s="358"/>
      <c r="M36" s="358"/>
      <c r="N36" s="358" t="s">
        <v>101</v>
      </c>
      <c r="O36" s="358"/>
      <c r="P36" s="358"/>
      <c r="Q36" s="359" t="s">
        <v>102</v>
      </c>
      <c r="R36" s="359"/>
      <c r="S36" s="359"/>
    </row>
    <row r="37" spans="1:19" ht="30" customHeight="1" x14ac:dyDescent="0.25">
      <c r="B37" s="363"/>
      <c r="C37" s="4" t="s">
        <v>35</v>
      </c>
      <c r="D37" s="4" t="s">
        <v>36</v>
      </c>
      <c r="E37" s="19" t="s">
        <v>0</v>
      </c>
      <c r="F37" s="19" t="s">
        <v>1</v>
      </c>
      <c r="G37" s="19" t="s">
        <v>3</v>
      </c>
      <c r="H37" s="19" t="s">
        <v>0</v>
      </c>
      <c r="I37" s="19" t="s">
        <v>1</v>
      </c>
      <c r="J37" s="19" t="s">
        <v>3</v>
      </c>
      <c r="K37" s="19" t="s">
        <v>39</v>
      </c>
      <c r="L37" s="19" t="s">
        <v>38</v>
      </c>
      <c r="M37" s="19" t="s">
        <v>37</v>
      </c>
      <c r="N37" s="19" t="s">
        <v>39</v>
      </c>
      <c r="O37" s="19" t="s">
        <v>38</v>
      </c>
      <c r="P37" s="19" t="s">
        <v>37</v>
      </c>
      <c r="Q37" s="26" t="s">
        <v>0</v>
      </c>
      <c r="R37" s="26" t="s">
        <v>1</v>
      </c>
      <c r="S37" s="26" t="s">
        <v>3</v>
      </c>
    </row>
    <row r="38" spans="1:19" ht="40.5" x14ac:dyDescent="0.25">
      <c r="B38" s="22" t="s">
        <v>312</v>
      </c>
      <c r="C38" s="299">
        <f>19860</f>
        <v>19860</v>
      </c>
      <c r="D38" s="299">
        <v>89517.9</v>
      </c>
      <c r="E38" s="299"/>
      <c r="F38" s="299"/>
      <c r="G38" s="93"/>
      <c r="H38" s="299">
        <v>50612.6</v>
      </c>
      <c r="I38" s="299">
        <v>29666.7</v>
      </c>
      <c r="J38" s="299">
        <v>9958.2999999999993</v>
      </c>
      <c r="K38" s="52">
        <f>C38+E38+H38</f>
        <v>70472.600000000006</v>
      </c>
      <c r="L38" s="52">
        <f>C38+F38+I38</f>
        <v>49526.7</v>
      </c>
      <c r="M38" s="52">
        <f>C38+G38+J38</f>
        <v>29818.3</v>
      </c>
      <c r="N38" s="93"/>
      <c r="O38" s="23"/>
      <c r="P38" s="23"/>
      <c r="Q38" s="26">
        <f>K38+N38</f>
        <v>70472.600000000006</v>
      </c>
      <c r="R38" s="26">
        <f>L38+O38</f>
        <v>49526.7</v>
      </c>
      <c r="S38" s="26">
        <f>M38+P38</f>
        <v>29818.3</v>
      </c>
    </row>
    <row r="39" spans="1:19" ht="28.5" x14ac:dyDescent="0.25">
      <c r="B39" s="18" t="s">
        <v>73</v>
      </c>
      <c r="C39" s="51"/>
      <c r="D39" s="257">
        <v>15567.7</v>
      </c>
      <c r="E39" s="52">
        <f t="shared" ref="E39:J39" si="0">SUM(E38:E38)</f>
        <v>0</v>
      </c>
      <c r="F39" s="52">
        <f t="shared" si="0"/>
        <v>0</v>
      </c>
      <c r="G39" s="52">
        <f t="shared" si="0"/>
        <v>0</v>
      </c>
      <c r="H39" s="52">
        <f t="shared" si="0"/>
        <v>50612.6</v>
      </c>
      <c r="I39" s="52">
        <f t="shared" si="0"/>
        <v>29666.7</v>
      </c>
      <c r="J39" s="52">
        <f t="shared" si="0"/>
        <v>9958.2999999999993</v>
      </c>
      <c r="K39" s="52">
        <f>C39+E39+H39</f>
        <v>50612.6</v>
      </c>
      <c r="L39" s="52">
        <f>C39+F39+I39</f>
        <v>29666.7</v>
      </c>
      <c r="M39" s="52">
        <f>C39+G39+J39</f>
        <v>9958.2999999999993</v>
      </c>
      <c r="N39" s="82" t="s">
        <v>2</v>
      </c>
      <c r="O39" s="4" t="s">
        <v>2</v>
      </c>
      <c r="P39" s="4" t="s">
        <v>2</v>
      </c>
      <c r="Q39" s="26" t="s">
        <v>2</v>
      </c>
      <c r="R39" s="26" t="s">
        <v>2</v>
      </c>
      <c r="S39" s="26" t="s">
        <v>2</v>
      </c>
    </row>
    <row r="40" spans="1:19" ht="28.5" x14ac:dyDescent="0.25">
      <c r="B40" s="18" t="s">
        <v>60</v>
      </c>
      <c r="C40" s="51"/>
      <c r="D40" s="257">
        <v>73950.2</v>
      </c>
      <c r="E40" s="52" t="s">
        <v>72</v>
      </c>
      <c r="F40" s="52" t="s">
        <v>72</v>
      </c>
      <c r="G40" s="52" t="s">
        <v>72</v>
      </c>
      <c r="H40" s="52" t="s">
        <v>72</v>
      </c>
      <c r="I40" s="52" t="s">
        <v>72</v>
      </c>
      <c r="J40" s="52" t="s">
        <v>72</v>
      </c>
      <c r="K40" s="52">
        <f>C40</f>
        <v>0</v>
      </c>
      <c r="L40" s="52">
        <f>C40</f>
        <v>0</v>
      </c>
      <c r="M40" s="52">
        <f>C40</f>
        <v>0</v>
      </c>
      <c r="N40" s="82" t="s">
        <v>2</v>
      </c>
      <c r="O40" s="4" t="s">
        <v>2</v>
      </c>
      <c r="P40" s="4" t="s">
        <v>2</v>
      </c>
      <c r="Q40" s="26" t="s">
        <v>2</v>
      </c>
      <c r="R40" s="26" t="s">
        <v>2</v>
      </c>
      <c r="S40" s="26" t="s">
        <v>2</v>
      </c>
    </row>
    <row r="41" spans="1:19" x14ac:dyDescent="0.25">
      <c r="B41" s="18" t="s">
        <v>61</v>
      </c>
      <c r="C41" s="52">
        <f>SUM(C38:C38)</f>
        <v>19860</v>
      </c>
      <c r="D41" s="52">
        <f>SUM(D38:D38)</f>
        <v>89517.9</v>
      </c>
      <c r="E41" s="52">
        <f>E39</f>
        <v>0</v>
      </c>
      <c r="F41" s="52">
        <f t="shared" ref="F41:J41" si="1">F39</f>
        <v>0</v>
      </c>
      <c r="G41" s="52">
        <f t="shared" si="1"/>
        <v>0</v>
      </c>
      <c r="H41" s="52">
        <f t="shared" si="1"/>
        <v>50612.6</v>
      </c>
      <c r="I41" s="52">
        <f t="shared" si="1"/>
        <v>29666.7</v>
      </c>
      <c r="J41" s="52">
        <f t="shared" si="1"/>
        <v>9958.2999999999993</v>
      </c>
      <c r="K41" s="82">
        <f>K39+K40</f>
        <v>50612.6</v>
      </c>
      <c r="L41" s="82">
        <f>L39+L40</f>
        <v>29666.7</v>
      </c>
      <c r="M41" s="82">
        <f t="shared" ref="M41" si="2">M39+M40</f>
        <v>9958.2999999999993</v>
      </c>
      <c r="N41" s="82">
        <f>SUM(N38:N38)</f>
        <v>0</v>
      </c>
      <c r="O41" s="4">
        <f>SUM(O38:O38)</f>
        <v>0</v>
      </c>
      <c r="P41" s="4">
        <f>SUM(P38:P38)</f>
        <v>0</v>
      </c>
      <c r="Q41" s="26">
        <f>K41+N41</f>
        <v>50612.6</v>
      </c>
      <c r="R41" s="333">
        <f>L41+O41</f>
        <v>29666.7</v>
      </c>
      <c r="S41" s="26">
        <f>M41+P41</f>
        <v>9958.2999999999993</v>
      </c>
    </row>
    <row r="45" spans="1:19" x14ac:dyDescent="0.25">
      <c r="C45" s="84"/>
    </row>
  </sheetData>
  <mergeCells count="13">
    <mergeCell ref="K17:K18"/>
    <mergeCell ref="B17:B18"/>
    <mergeCell ref="C17:C18"/>
    <mergeCell ref="D17:D18"/>
    <mergeCell ref="E17:E18"/>
    <mergeCell ref="F17:J17"/>
    <mergeCell ref="Q36:S36"/>
    <mergeCell ref="B32:E32"/>
    <mergeCell ref="B36:B37"/>
    <mergeCell ref="E36:G36"/>
    <mergeCell ref="H36:J36"/>
    <mergeCell ref="K36:M36"/>
    <mergeCell ref="N36:P36"/>
  </mergeCells>
  <dataValidations count="4">
    <dataValidation type="list" allowBlank="1" showInputMessage="1" showErrorMessage="1" sqref="D19:D22" xr:uid="{09E9C57C-D3B6-496A-8C1F-42ECB1297B7E}">
      <formula1>$V$2:$V$3</formula1>
    </dataValidation>
    <dataValidation showInputMessage="1" showErrorMessage="1" sqref="E19:E22" xr:uid="{BCB50E42-6F74-4F5D-B47D-065EC4119D94}"/>
    <dataValidation type="custom" allowBlank="1" showInputMessage="1" showErrorMessage="1" sqref="N38:P38" xr:uid="{515570A2-AFF9-42CA-B4CB-0D294D270AA1}">
      <formula1>"-"</formula1>
    </dataValidation>
    <dataValidation type="list" allowBlank="1" showInputMessage="1" showErrorMessage="1" sqref="B13" xr:uid="{ABCAFAA7-E1DD-4F9F-B4A4-F5A6665C937E}">
      <formula1>$U$2:$U$4</formula1>
    </dataValidation>
  </dataValidations>
  <hyperlinks>
    <hyperlink ref="C12" location="_ftn1" display="_ftn1" xr:uid="{A8383A6C-29FA-4DED-9A8C-041E7B2D98AF}"/>
    <hyperlink ref="D12" location="_ftn2" display="_ftn2" xr:uid="{A7421E3F-38FB-474E-B7E2-EE90CEC01919}"/>
    <hyperlink ref="E12" location="_ftn3" display="_ftn3" xr:uid="{29A47F37-E9B3-49A4-96B0-89172DC0C609}"/>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3729" r:id="rId3" name="Check Box 1">
              <controlPr defaultSize="0" autoFill="0" autoLine="0" autoPict="0">
                <anchor moveWithCells="1">
                  <from>
                    <xdr:col>1</xdr:col>
                    <xdr:colOff>85725</xdr:colOff>
                    <xdr:row>28</xdr:row>
                    <xdr:rowOff>0</xdr:rowOff>
                  </from>
                  <to>
                    <xdr:col>2</xdr:col>
                    <xdr:colOff>1171575</xdr:colOff>
                    <xdr:row>29</xdr:row>
                    <xdr:rowOff>38100</xdr:rowOff>
                  </to>
                </anchor>
              </controlPr>
            </control>
          </mc:Choice>
        </mc:AlternateContent>
        <mc:AlternateContent xmlns:mc="http://schemas.openxmlformats.org/markup-compatibility/2006">
          <mc:Choice Requires="x14">
            <control shapeId="73730" r:id="rId4" name="Check Box 2">
              <controlPr defaultSize="0" autoFill="0" autoLine="0" autoPict="0">
                <anchor moveWithCells="1">
                  <from>
                    <xdr:col>1</xdr:col>
                    <xdr:colOff>85725</xdr:colOff>
                    <xdr:row>25</xdr:row>
                    <xdr:rowOff>171450</xdr:rowOff>
                  </from>
                  <to>
                    <xdr:col>2</xdr:col>
                    <xdr:colOff>1924050</xdr:colOff>
                    <xdr:row>27</xdr:row>
                    <xdr:rowOff>47625</xdr:rowOff>
                  </to>
                </anchor>
              </controlPr>
            </control>
          </mc:Choice>
        </mc:AlternateContent>
        <mc:AlternateContent xmlns:mc="http://schemas.openxmlformats.org/markup-compatibility/2006">
          <mc:Choice Requires="x14">
            <control shapeId="73731" r:id="rId5" name="Check Box 3">
              <controlPr defaultSize="0" autoFill="0" autoLine="0" autoPict="0">
                <anchor moveWithCells="1">
                  <from>
                    <xdr:col>1</xdr:col>
                    <xdr:colOff>85725</xdr:colOff>
                    <xdr:row>27</xdr:row>
                    <xdr:rowOff>28575</xdr:rowOff>
                  </from>
                  <to>
                    <xdr:col>2</xdr:col>
                    <xdr:colOff>1924050</xdr:colOff>
                    <xdr:row>28</xdr:row>
                    <xdr:rowOff>9525</xdr:rowOff>
                  </to>
                </anchor>
              </controlPr>
            </control>
          </mc:Choice>
        </mc:AlternateContent>
        <mc:AlternateContent xmlns:mc="http://schemas.openxmlformats.org/markup-compatibility/2006">
          <mc:Choice Requires="x14">
            <control shapeId="73732" r:id="rId6" name="Check Box 4">
              <controlPr defaultSize="0" autoFill="0" autoLine="0" autoPict="0">
                <anchor moveWithCells="1">
                  <from>
                    <xdr:col>1</xdr:col>
                    <xdr:colOff>95250</xdr:colOff>
                    <xdr:row>29</xdr:row>
                    <xdr:rowOff>9525</xdr:rowOff>
                  </from>
                  <to>
                    <xdr:col>2</xdr:col>
                    <xdr:colOff>571500</xdr:colOff>
                    <xdr:row>30</xdr:row>
                    <xdr:rowOff>9525</xdr:rowOff>
                  </to>
                </anchor>
              </controlPr>
            </control>
          </mc:Choice>
        </mc:AlternateContent>
      </controls>
    </mc:Choice>
  </mc:AlternateContent>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E9F95-1A77-44E1-BA47-A18FABCC8286}">
  <dimension ref="A1:W45"/>
  <sheetViews>
    <sheetView topLeftCell="A28" workbookViewId="0">
      <selection activeCell="F50" sqref="F50"/>
    </sheetView>
  </sheetViews>
  <sheetFormatPr defaultRowHeight="15" x14ac:dyDescent="0.25"/>
  <cols>
    <col min="1" max="1" width="6" customWidth="1"/>
    <col min="2" max="2" width="33.140625" customWidth="1"/>
    <col min="3" max="3" width="24.85546875" customWidth="1"/>
    <col min="4" max="4" width="31.5703125" customWidth="1"/>
    <col min="5" max="5" width="40.28515625" customWidth="1"/>
    <col min="6" max="6" width="28.42578125" customWidth="1"/>
    <col min="7" max="7" width="22.28515625" customWidth="1"/>
    <col min="8" max="9" width="10.42578125" customWidth="1"/>
    <col min="10" max="10" width="13.85546875" customWidth="1"/>
    <col min="11" max="11" width="18.28515625" bestFit="1" customWidth="1"/>
    <col min="12" max="12" width="9.140625" customWidth="1"/>
    <col min="13" max="13" width="9.7109375" customWidth="1"/>
    <col min="14" max="14" width="9.5703125" customWidth="1"/>
    <col min="15" max="15" width="8.140625" customWidth="1"/>
    <col min="16" max="16" width="8"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1187</v>
      </c>
      <c r="E5" s="25" t="s">
        <v>83</v>
      </c>
      <c r="F5" s="20">
        <v>2019</v>
      </c>
      <c r="H5" s="3"/>
      <c r="I5" s="3"/>
      <c r="J5" s="3"/>
    </row>
    <row r="6" spans="1:23" ht="36.75" customHeight="1" x14ac:dyDescent="0.25">
      <c r="B6" s="25" t="s">
        <v>80</v>
      </c>
      <c r="C6" s="29" t="s">
        <v>546</v>
      </c>
      <c r="E6" s="25" t="s">
        <v>84</v>
      </c>
      <c r="F6" s="20">
        <v>2024</v>
      </c>
      <c r="H6" s="3"/>
      <c r="I6" s="3"/>
      <c r="J6" s="3"/>
    </row>
    <row r="7" spans="1:23" ht="18" customHeight="1" x14ac:dyDescent="0.25">
      <c r="B7" s="25" t="s">
        <v>81</v>
      </c>
      <c r="C7" s="20">
        <v>12013</v>
      </c>
      <c r="H7" s="3"/>
      <c r="I7" s="3"/>
      <c r="J7" s="3"/>
    </row>
    <row r="8" spans="1:23" ht="70.5" customHeight="1" x14ac:dyDescent="0.25">
      <c r="B8" s="25" t="s">
        <v>82</v>
      </c>
      <c r="C8" s="29" t="s">
        <v>573</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81.75" x14ac:dyDescent="0.3">
      <c r="B13" s="131" t="s">
        <v>48</v>
      </c>
      <c r="C13" s="133" t="s">
        <v>574</v>
      </c>
      <c r="D13" s="21"/>
      <c r="E13" s="132" t="s">
        <v>575</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1.75" customHeight="1" x14ac:dyDescent="0.25">
      <c r="B17" s="365" t="s">
        <v>89</v>
      </c>
      <c r="C17" s="365" t="s">
        <v>90</v>
      </c>
      <c r="D17" s="365" t="s">
        <v>91</v>
      </c>
      <c r="E17" s="365" t="s">
        <v>92</v>
      </c>
      <c r="F17" s="364" t="s">
        <v>93</v>
      </c>
      <c r="G17" s="364"/>
      <c r="H17" s="364"/>
      <c r="I17" s="364"/>
      <c r="J17" s="364"/>
      <c r="K17" s="364" t="s">
        <v>94</v>
      </c>
    </row>
    <row r="18" spans="1:11" ht="21" customHeight="1" x14ac:dyDescent="0.25">
      <c r="B18" s="365"/>
      <c r="C18" s="365"/>
      <c r="D18" s="365"/>
      <c r="E18" s="365"/>
      <c r="F18" s="27" t="s">
        <v>51</v>
      </c>
      <c r="G18" s="27" t="s">
        <v>52</v>
      </c>
      <c r="H18" s="27" t="s">
        <v>0</v>
      </c>
      <c r="I18" s="27" t="s">
        <v>1</v>
      </c>
      <c r="J18" s="27" t="s">
        <v>3</v>
      </c>
      <c r="K18" s="364"/>
    </row>
    <row r="19" spans="1:11" ht="33" customHeight="1" x14ac:dyDescent="0.25">
      <c r="B19" s="133" t="s">
        <v>576</v>
      </c>
      <c r="C19" s="21" t="s">
        <v>577</v>
      </c>
      <c r="D19" s="21" t="s">
        <v>47</v>
      </c>
      <c r="E19" s="21" t="s">
        <v>341</v>
      </c>
      <c r="F19" s="136">
        <v>104</v>
      </c>
      <c r="G19" s="136">
        <v>200</v>
      </c>
      <c r="H19" s="136">
        <v>104</v>
      </c>
      <c r="I19" s="21">
        <v>0</v>
      </c>
      <c r="J19" s="21">
        <v>0</v>
      </c>
      <c r="K19" s="21"/>
    </row>
    <row r="20" spans="1:11" ht="33" customHeight="1" x14ac:dyDescent="0.25">
      <c r="B20" s="133"/>
      <c r="C20" s="21"/>
      <c r="D20" s="21"/>
      <c r="E20" s="21"/>
      <c r="F20" s="21"/>
      <c r="G20" s="21"/>
      <c r="H20" s="21"/>
      <c r="I20" s="21">
        <v>0</v>
      </c>
      <c r="J20" s="21">
        <v>0</v>
      </c>
      <c r="K20" s="21"/>
    </row>
    <row r="21" spans="1:11" ht="39.75" customHeight="1" x14ac:dyDescent="0.25"/>
    <row r="22" spans="1:11" ht="17.25" x14ac:dyDescent="0.25">
      <c r="B22" s="3"/>
      <c r="C22" s="3"/>
      <c r="D22" s="3"/>
      <c r="E22" s="3"/>
      <c r="F22" s="3"/>
      <c r="G22" s="3"/>
      <c r="H22" s="3"/>
      <c r="I22" s="3"/>
      <c r="J22" s="3"/>
    </row>
    <row r="23" spans="1:11" ht="15.75" x14ac:dyDescent="0.25">
      <c r="A23" s="12" t="s">
        <v>53</v>
      </c>
      <c r="C23" s="13"/>
      <c r="D23" s="13"/>
      <c r="E23" s="13"/>
      <c r="F23" s="13"/>
      <c r="G23" s="13"/>
      <c r="H23" s="13"/>
      <c r="I23" s="13"/>
      <c r="J23" s="13"/>
    </row>
    <row r="24" spans="1:11" x14ac:dyDescent="0.25">
      <c r="A24" s="14"/>
      <c r="C24" s="15"/>
      <c r="D24" s="15"/>
      <c r="E24" s="15"/>
      <c r="F24" s="15"/>
      <c r="G24" s="15"/>
      <c r="H24" s="15"/>
      <c r="I24" s="15"/>
      <c r="J24" s="15"/>
    </row>
    <row r="25" spans="1:11" x14ac:dyDescent="0.25">
      <c r="A25" s="16" t="s">
        <v>54</v>
      </c>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B29" s="17"/>
      <c r="C29" s="17"/>
      <c r="D29" s="17"/>
      <c r="E29" s="13"/>
      <c r="F29" s="13"/>
      <c r="G29" s="13"/>
      <c r="H29" s="13"/>
      <c r="I29" s="13"/>
      <c r="J29" s="13"/>
    </row>
    <row r="30" spans="1:11" x14ac:dyDescent="0.25">
      <c r="A30" s="16" t="s">
        <v>55</v>
      </c>
      <c r="E30" s="13"/>
      <c r="F30" s="13"/>
      <c r="G30" s="13"/>
      <c r="H30" s="13"/>
      <c r="I30" s="13"/>
      <c r="J30" s="13"/>
    </row>
    <row r="31" spans="1:11" ht="62.25" customHeight="1" x14ac:dyDescent="0.25">
      <c r="B31" s="360" t="s">
        <v>178</v>
      </c>
      <c r="C31" s="361"/>
      <c r="D31" s="361"/>
      <c r="E31" s="362"/>
      <c r="F31" s="13"/>
      <c r="G31" s="13"/>
      <c r="H31" s="13"/>
      <c r="I31" s="13"/>
      <c r="J31" s="13"/>
    </row>
    <row r="32" spans="1:11" ht="17.25" x14ac:dyDescent="0.25">
      <c r="B32" s="3"/>
      <c r="C32" s="3"/>
      <c r="D32" s="3"/>
      <c r="E32" s="13"/>
      <c r="F32" s="13"/>
      <c r="G32" s="13"/>
      <c r="H32" s="13"/>
      <c r="I32" s="13"/>
      <c r="J32" s="13"/>
    </row>
    <row r="33" spans="1:21" x14ac:dyDescent="0.25">
      <c r="A33" s="7" t="s">
        <v>56</v>
      </c>
    </row>
    <row r="35" spans="1:21" ht="43.5" customHeight="1" x14ac:dyDescent="0.25">
      <c r="B35" s="363" t="s">
        <v>95</v>
      </c>
      <c r="C35" s="4" t="s">
        <v>96</v>
      </c>
      <c r="D35" s="4" t="s">
        <v>97</v>
      </c>
      <c r="E35" s="358" t="s">
        <v>98</v>
      </c>
      <c r="F35" s="358"/>
      <c r="G35" s="358"/>
      <c r="H35" s="358" t="s">
        <v>99</v>
      </c>
      <c r="I35" s="358"/>
      <c r="J35" s="358"/>
      <c r="K35" s="358" t="s">
        <v>100</v>
      </c>
      <c r="L35" s="358"/>
      <c r="M35" s="358"/>
      <c r="N35" s="358" t="s">
        <v>101</v>
      </c>
      <c r="O35" s="358"/>
      <c r="P35" s="358"/>
      <c r="Q35" s="359" t="s">
        <v>102</v>
      </c>
      <c r="R35" s="359"/>
      <c r="S35" s="359"/>
    </row>
    <row r="36" spans="1:21" ht="30" customHeight="1" x14ac:dyDescent="0.25">
      <c r="B36" s="363"/>
      <c r="C36" s="4" t="s">
        <v>35</v>
      </c>
      <c r="D36" s="4" t="s">
        <v>36</v>
      </c>
      <c r="E36" s="19" t="s">
        <v>0</v>
      </c>
      <c r="F36" s="19" t="s">
        <v>1</v>
      </c>
      <c r="G36" s="19" t="s">
        <v>3</v>
      </c>
      <c r="H36" s="19" t="s">
        <v>0</v>
      </c>
      <c r="I36" s="19" t="s">
        <v>1</v>
      </c>
      <c r="J36" s="19" t="s">
        <v>3</v>
      </c>
      <c r="K36" s="19" t="s">
        <v>39</v>
      </c>
      <c r="L36" s="19" t="s">
        <v>38</v>
      </c>
      <c r="M36" s="19" t="s">
        <v>37</v>
      </c>
      <c r="N36" s="19" t="s">
        <v>39</v>
      </c>
      <c r="O36" s="19" t="s">
        <v>38</v>
      </c>
      <c r="P36" s="19" t="s">
        <v>37</v>
      </c>
      <c r="Q36" s="26" t="s">
        <v>0</v>
      </c>
      <c r="R36" s="26" t="s">
        <v>1</v>
      </c>
      <c r="S36" s="26" t="s">
        <v>3</v>
      </c>
    </row>
    <row r="37" spans="1:21" x14ac:dyDescent="0.25">
      <c r="B37" s="22" t="s">
        <v>560</v>
      </c>
      <c r="C37" s="51">
        <v>0</v>
      </c>
      <c r="D37" s="51">
        <v>10350</v>
      </c>
      <c r="E37" s="93"/>
      <c r="F37" s="93"/>
      <c r="G37" s="93"/>
      <c r="H37" s="93"/>
      <c r="I37" s="93"/>
      <c r="J37" s="93"/>
      <c r="K37" s="52">
        <f>C37+E37+H37</f>
        <v>0</v>
      </c>
      <c r="L37" s="52">
        <f>C37+F37+I37</f>
        <v>0</v>
      </c>
      <c r="M37" s="52">
        <f>C37+G37+J37</f>
        <v>0</v>
      </c>
      <c r="N37" s="93"/>
      <c r="O37" s="93"/>
      <c r="P37" s="93"/>
      <c r="Q37" s="70">
        <f>K37+N37</f>
        <v>0</v>
      </c>
      <c r="R37" s="70">
        <f>L37+O37</f>
        <v>0</v>
      </c>
      <c r="S37" s="70">
        <f>M37+P37</f>
        <v>0</v>
      </c>
      <c r="T37" s="86"/>
      <c r="U37" s="86"/>
    </row>
    <row r="38" spans="1:21" x14ac:dyDescent="0.25">
      <c r="B38" s="22" t="s">
        <v>561</v>
      </c>
      <c r="C38" s="51">
        <v>7141</v>
      </c>
      <c r="D38" s="51">
        <v>10350</v>
      </c>
      <c r="E38" s="93"/>
      <c r="F38" s="93"/>
      <c r="G38" s="93"/>
      <c r="H38" s="93"/>
      <c r="I38" s="93">
        <v>-7141</v>
      </c>
      <c r="J38" s="93">
        <v>-7141</v>
      </c>
      <c r="K38" s="52">
        <f>C38+E38+H38</f>
        <v>7141</v>
      </c>
      <c r="L38" s="52">
        <f>C38+F38+I38</f>
        <v>0</v>
      </c>
      <c r="M38" s="52">
        <f>C38+G38+J38</f>
        <v>0</v>
      </c>
      <c r="N38" s="93"/>
      <c r="O38" s="93"/>
      <c r="P38" s="93"/>
      <c r="Q38" s="70">
        <f t="shared" ref="Q38:S40" si="0">K38+N38</f>
        <v>7141</v>
      </c>
      <c r="R38" s="70">
        <f t="shared" si="0"/>
        <v>0</v>
      </c>
      <c r="S38" s="70">
        <f t="shared" si="0"/>
        <v>0</v>
      </c>
      <c r="T38" s="86"/>
      <c r="U38" s="86"/>
    </row>
    <row r="39" spans="1:21" x14ac:dyDescent="0.25">
      <c r="B39" s="22"/>
      <c r="C39" s="51"/>
      <c r="D39" s="51"/>
      <c r="E39" s="93"/>
      <c r="F39" s="93"/>
      <c r="G39" s="93"/>
      <c r="H39" s="93"/>
      <c r="I39" s="93"/>
      <c r="J39" s="93"/>
      <c r="K39" s="52">
        <f>C40+E39+H39</f>
        <v>0</v>
      </c>
      <c r="L39" s="52">
        <f t="shared" ref="K39:M40" si="1">D39+F39+I39</f>
        <v>0</v>
      </c>
      <c r="M39" s="52">
        <f t="shared" si="1"/>
        <v>0</v>
      </c>
      <c r="N39" s="93"/>
      <c r="O39" s="93"/>
      <c r="P39" s="93"/>
      <c r="Q39" s="70">
        <f t="shared" si="0"/>
        <v>0</v>
      </c>
      <c r="R39" s="70">
        <f t="shared" si="0"/>
        <v>0</v>
      </c>
      <c r="S39" s="70">
        <f t="shared" si="0"/>
        <v>0</v>
      </c>
      <c r="T39" s="86"/>
      <c r="U39" s="86"/>
    </row>
    <row r="40" spans="1:21" x14ac:dyDescent="0.25">
      <c r="B40" s="22"/>
      <c r="C40" s="51"/>
      <c r="D40" s="51"/>
      <c r="E40" s="93"/>
      <c r="F40" s="93"/>
      <c r="G40" s="93"/>
      <c r="H40" s="93"/>
      <c r="I40" s="93"/>
      <c r="J40" s="93"/>
      <c r="K40" s="52">
        <f t="shared" si="1"/>
        <v>0</v>
      </c>
      <c r="L40" s="52">
        <f t="shared" si="1"/>
        <v>0</v>
      </c>
      <c r="M40" s="52">
        <f t="shared" si="1"/>
        <v>0</v>
      </c>
      <c r="N40" s="93"/>
      <c r="O40" s="93"/>
      <c r="P40" s="93"/>
      <c r="Q40" s="70">
        <f t="shared" si="0"/>
        <v>0</v>
      </c>
      <c r="R40" s="70">
        <f t="shared" si="0"/>
        <v>0</v>
      </c>
      <c r="S40" s="70">
        <f t="shared" si="0"/>
        <v>0</v>
      </c>
      <c r="T40" s="86"/>
      <c r="U40" s="86"/>
    </row>
    <row r="41" spans="1:21" ht="28.5" x14ac:dyDescent="0.25">
      <c r="B41" s="18" t="s">
        <v>73</v>
      </c>
      <c r="C41" s="51">
        <f>SUM(C37:C40)</f>
        <v>7141</v>
      </c>
      <c r="D41" s="51">
        <f>SUM(D37:D40)</f>
        <v>20700</v>
      </c>
      <c r="E41" s="52">
        <f>SUM(E37:E40)</f>
        <v>0</v>
      </c>
      <c r="F41" s="52">
        <f t="shared" ref="F41:J41" si="2">SUM(F37:F40)</f>
        <v>0</v>
      </c>
      <c r="G41" s="52">
        <f t="shared" si="2"/>
        <v>0</v>
      </c>
      <c r="H41" s="52">
        <f t="shared" si="2"/>
        <v>0</v>
      </c>
      <c r="I41" s="52">
        <f>SUM(I37:I40)</f>
        <v>-7141</v>
      </c>
      <c r="J41" s="52">
        <f t="shared" si="2"/>
        <v>-7141</v>
      </c>
      <c r="K41" s="52">
        <f>+K38</f>
        <v>7141</v>
      </c>
      <c r="L41" s="52">
        <f>C41+F41+I41</f>
        <v>0</v>
      </c>
      <c r="M41" s="52">
        <f>C41+G41+J41</f>
        <v>0</v>
      </c>
      <c r="N41" s="82" t="s">
        <v>2</v>
      </c>
      <c r="O41" s="82" t="s">
        <v>2</v>
      </c>
      <c r="P41" s="82" t="s">
        <v>2</v>
      </c>
      <c r="Q41" s="70" t="s">
        <v>2</v>
      </c>
      <c r="R41" s="70" t="s">
        <v>2</v>
      </c>
      <c r="S41" s="70" t="s">
        <v>2</v>
      </c>
      <c r="T41" s="86"/>
      <c r="U41" s="86"/>
    </row>
    <row r="42" spans="1:21" ht="28.5" x14ac:dyDescent="0.25">
      <c r="B42" s="18" t="s">
        <v>60</v>
      </c>
      <c r="C42" s="51"/>
      <c r="D42" s="51"/>
      <c r="E42" s="52" t="s">
        <v>72</v>
      </c>
      <c r="F42" s="52" t="s">
        <v>72</v>
      </c>
      <c r="G42" s="52" t="s">
        <v>72</v>
      </c>
      <c r="H42" s="52" t="s">
        <v>72</v>
      </c>
      <c r="I42" s="52" t="s">
        <v>72</v>
      </c>
      <c r="J42" s="52" t="s">
        <v>72</v>
      </c>
      <c r="K42" s="52">
        <f>C42</f>
        <v>0</v>
      </c>
      <c r="L42" s="52">
        <f>C42</f>
        <v>0</v>
      </c>
      <c r="M42" s="52">
        <f>C42</f>
        <v>0</v>
      </c>
      <c r="N42" s="82" t="s">
        <v>2</v>
      </c>
      <c r="O42" s="82" t="s">
        <v>2</v>
      </c>
      <c r="P42" s="82" t="s">
        <v>2</v>
      </c>
      <c r="Q42" s="70" t="s">
        <v>2</v>
      </c>
      <c r="R42" s="70" t="s">
        <v>2</v>
      </c>
      <c r="S42" s="70" t="s">
        <v>2</v>
      </c>
      <c r="T42" s="86"/>
      <c r="U42" s="86"/>
    </row>
    <row r="43" spans="1:21" x14ac:dyDescent="0.25">
      <c r="A43" s="199"/>
      <c r="B43" s="246" t="s">
        <v>698</v>
      </c>
      <c r="C43" s="259">
        <f>SUM(C37:C40)</f>
        <v>7141</v>
      </c>
      <c r="D43" s="259">
        <f>SUM(D37:D40)</f>
        <v>20700</v>
      </c>
      <c r="E43" s="259">
        <f>E41</f>
        <v>0</v>
      </c>
      <c r="F43" s="259">
        <f t="shared" ref="F43:J43" si="3">F41</f>
        <v>0</v>
      </c>
      <c r="G43" s="259">
        <f t="shared" si="3"/>
        <v>0</v>
      </c>
      <c r="H43" s="259">
        <f t="shared" si="3"/>
        <v>0</v>
      </c>
      <c r="I43" s="259">
        <f t="shared" si="3"/>
        <v>-7141</v>
      </c>
      <c r="J43" s="259">
        <f t="shared" si="3"/>
        <v>-7141</v>
      </c>
      <c r="K43" s="260">
        <f>K41+K42</f>
        <v>7141</v>
      </c>
      <c r="L43" s="260">
        <f t="shared" ref="L43:M43" si="4">L41+L42</f>
        <v>0</v>
      </c>
      <c r="M43" s="82">
        <f t="shared" si="4"/>
        <v>0</v>
      </c>
      <c r="N43" s="82">
        <f>SUM(N37:N40)</f>
        <v>0</v>
      </c>
      <c r="O43" s="82">
        <f t="shared" ref="O43:P43" si="5">SUM(O37:O40)</f>
        <v>0</v>
      </c>
      <c r="P43" s="82">
        <f t="shared" si="5"/>
        <v>0</v>
      </c>
      <c r="Q43" s="70">
        <f>K43+N43</f>
        <v>7141</v>
      </c>
      <c r="R43" s="70">
        <f>L43+O43</f>
        <v>0</v>
      </c>
      <c r="S43" s="70">
        <f>M43+P43</f>
        <v>0</v>
      </c>
      <c r="T43" s="86"/>
      <c r="U43" s="86"/>
    </row>
    <row r="45" spans="1:21" x14ac:dyDescent="0.25">
      <c r="D45" s="303">
        <v>0</v>
      </c>
    </row>
  </sheetData>
  <mergeCells count="13">
    <mergeCell ref="Q35:S35"/>
    <mergeCell ref="B31:E31"/>
    <mergeCell ref="B35:B36"/>
    <mergeCell ref="E35:G35"/>
    <mergeCell ref="H35:J35"/>
    <mergeCell ref="K35:M35"/>
    <mergeCell ref="N35:P35"/>
    <mergeCell ref="K17:K18"/>
    <mergeCell ref="B17:B18"/>
    <mergeCell ref="C17:C18"/>
    <mergeCell ref="D17:D18"/>
    <mergeCell ref="E17:E18"/>
    <mergeCell ref="F17:J17"/>
  </mergeCells>
  <dataValidations count="4">
    <dataValidation type="list" allowBlank="1" showInputMessage="1" showErrorMessage="1" sqref="D19:D20" xr:uid="{D2C9FE62-8F10-4A99-8EA4-281148918171}">
      <formula1>$V$2:$V$3</formula1>
    </dataValidation>
    <dataValidation showInputMessage="1" showErrorMessage="1" sqref="E19:E20" xr:uid="{2C7C76BD-DFAB-4626-A81A-16F7C4EAC374}"/>
    <dataValidation type="custom" allowBlank="1" showInputMessage="1" showErrorMessage="1" sqref="N37:P40" xr:uid="{27353F4F-7BF4-4C17-BD97-4F5A95357D50}">
      <formula1>"-"</formula1>
    </dataValidation>
    <dataValidation type="list" allowBlank="1" showInputMessage="1" showErrorMessage="1" sqref="B13" xr:uid="{49050E8B-3FE9-4A58-9F47-37EAFDD8586F}">
      <formula1>$U$2:$U$4</formula1>
    </dataValidation>
  </dataValidations>
  <hyperlinks>
    <hyperlink ref="C12" location="_ftn1" display="_ftn1" xr:uid="{8A7B8950-52C4-4E5E-BD13-C38070767974}"/>
    <hyperlink ref="D12" location="_ftn2" display="_ftn2" xr:uid="{494F648C-6D77-45AC-89CA-0A027ED2C518}"/>
    <hyperlink ref="E12" location="_ftn3" display="_ftn3" xr:uid="{37AAF703-0E46-493D-9139-E82A4540A842}"/>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4033" r:id="rId3" name="Check Box 1">
              <controlPr defaultSize="0" autoFill="0" autoLine="0" autoPict="0">
                <anchor moveWithCells="1">
                  <from>
                    <xdr:col>1</xdr:col>
                    <xdr:colOff>85725</xdr:colOff>
                    <xdr:row>27</xdr:row>
                    <xdr:rowOff>0</xdr:rowOff>
                  </from>
                  <to>
                    <xdr:col>2</xdr:col>
                    <xdr:colOff>1171575</xdr:colOff>
                    <xdr:row>28</xdr:row>
                    <xdr:rowOff>38100</xdr:rowOff>
                  </to>
                </anchor>
              </controlPr>
            </control>
          </mc:Choice>
        </mc:AlternateContent>
        <mc:AlternateContent xmlns:mc="http://schemas.openxmlformats.org/markup-compatibility/2006">
          <mc:Choice Requires="x14">
            <control shapeId="44034" r:id="rId4" name="Check Box 2">
              <controlPr defaultSize="0" autoFill="0" autoLine="0" autoPict="0">
                <anchor moveWithCells="1">
                  <from>
                    <xdr:col>1</xdr:col>
                    <xdr:colOff>85725</xdr:colOff>
                    <xdr:row>24</xdr:row>
                    <xdr:rowOff>171450</xdr:rowOff>
                  </from>
                  <to>
                    <xdr:col>3</xdr:col>
                    <xdr:colOff>266700</xdr:colOff>
                    <xdr:row>26</xdr:row>
                    <xdr:rowOff>47625</xdr:rowOff>
                  </to>
                </anchor>
              </controlPr>
            </control>
          </mc:Choice>
        </mc:AlternateContent>
        <mc:AlternateContent xmlns:mc="http://schemas.openxmlformats.org/markup-compatibility/2006">
          <mc:Choice Requires="x14">
            <control shapeId="44035" r:id="rId5" name="Check Box 3">
              <controlPr defaultSize="0" autoFill="0" autoLine="0" autoPict="0">
                <anchor moveWithCells="1">
                  <from>
                    <xdr:col>1</xdr:col>
                    <xdr:colOff>85725</xdr:colOff>
                    <xdr:row>26</xdr:row>
                    <xdr:rowOff>28575</xdr:rowOff>
                  </from>
                  <to>
                    <xdr:col>3</xdr:col>
                    <xdr:colOff>266700</xdr:colOff>
                    <xdr:row>27</xdr:row>
                    <xdr:rowOff>9525</xdr:rowOff>
                  </to>
                </anchor>
              </controlPr>
            </control>
          </mc:Choice>
        </mc:AlternateContent>
        <mc:AlternateContent xmlns:mc="http://schemas.openxmlformats.org/markup-compatibility/2006">
          <mc:Choice Requires="x14">
            <control shapeId="44036" r:id="rId6" name="Check Box 4">
              <controlPr defaultSize="0" autoFill="0" autoLine="0" autoPict="0">
                <anchor moveWithCells="1">
                  <from>
                    <xdr:col>1</xdr:col>
                    <xdr:colOff>95250</xdr:colOff>
                    <xdr:row>28</xdr:row>
                    <xdr:rowOff>9525</xdr:rowOff>
                  </from>
                  <to>
                    <xdr:col>2</xdr:col>
                    <xdr:colOff>571500</xdr:colOff>
                    <xdr:row>29</xdr:row>
                    <xdr:rowOff>9525</xdr:rowOff>
                  </to>
                </anchor>
              </controlPr>
            </control>
          </mc:Choice>
        </mc:AlternateContent>
      </controls>
    </mc:Choice>
  </mc:AlternateContent>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60951-2ED5-449A-B7A6-B4EB4E6D7381}">
  <dimension ref="A1:W50"/>
  <sheetViews>
    <sheetView topLeftCell="A28" workbookViewId="0">
      <selection activeCell="E53" sqref="E53"/>
    </sheetView>
  </sheetViews>
  <sheetFormatPr defaultRowHeight="15" x14ac:dyDescent="0.25"/>
  <cols>
    <col min="1" max="1" width="6" customWidth="1"/>
    <col min="2" max="2" width="33.140625" customWidth="1"/>
    <col min="3" max="3" width="55.140625" customWidth="1"/>
    <col min="4" max="4" width="31.5703125" customWidth="1"/>
    <col min="5" max="5" width="40" customWidth="1"/>
    <col min="6" max="6" width="24.5703125" customWidth="1"/>
    <col min="7" max="7" width="22.5703125" customWidth="1"/>
    <col min="8" max="8" width="15" customWidth="1"/>
    <col min="9" max="9" width="14.140625" customWidth="1"/>
    <col min="10" max="10" width="15.28515625" customWidth="1"/>
    <col min="11" max="11" width="18.28515625" bestFit="1" customWidth="1"/>
    <col min="12" max="12" width="14.42578125" customWidth="1"/>
    <col min="13" max="13" width="15.5703125" customWidth="1"/>
    <col min="14" max="14" width="9.5703125" customWidth="1"/>
    <col min="15" max="15" width="8.140625" customWidth="1"/>
    <col min="16" max="16" width="8" customWidth="1"/>
    <col min="17" max="17" width="11.7109375" bestFit="1" customWidth="1"/>
    <col min="18" max="18" width="11.42578125" bestFit="1" customWidth="1"/>
    <col min="19" max="19" width="11.7109375" bestFit="1" customWidth="1"/>
    <col min="21" max="23" width="0"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1187</v>
      </c>
      <c r="E5" s="25" t="s">
        <v>83</v>
      </c>
      <c r="F5" s="20" t="s">
        <v>518</v>
      </c>
      <c r="H5" s="3"/>
      <c r="I5" s="3"/>
      <c r="J5" s="3"/>
    </row>
    <row r="6" spans="1:23" ht="40.5" customHeight="1" x14ac:dyDescent="0.25">
      <c r="B6" s="25" t="s">
        <v>80</v>
      </c>
      <c r="C6" s="201" t="s">
        <v>505</v>
      </c>
      <c r="E6" s="25" t="s">
        <v>84</v>
      </c>
      <c r="F6" s="20" t="s">
        <v>519</v>
      </c>
      <c r="H6" s="3"/>
      <c r="I6" s="3"/>
      <c r="J6" s="3"/>
    </row>
    <row r="7" spans="1:23" ht="18" customHeight="1" x14ac:dyDescent="0.25">
      <c r="B7" s="25" t="s">
        <v>81</v>
      </c>
      <c r="C7" s="20">
        <v>12014</v>
      </c>
      <c r="H7" s="3"/>
      <c r="I7" s="3"/>
      <c r="J7" s="3"/>
    </row>
    <row r="8" spans="1:23" ht="126" customHeight="1" x14ac:dyDescent="0.25">
      <c r="B8" s="25" t="s">
        <v>82</v>
      </c>
      <c r="C8" s="206" t="s">
        <v>520</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378" x14ac:dyDescent="0.3">
      <c r="B13" s="30" t="s">
        <v>46</v>
      </c>
      <c r="C13" s="207" t="s">
        <v>521</v>
      </c>
      <c r="D13" s="21"/>
      <c r="E13" s="22" t="s">
        <v>522</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15" customHeight="1" x14ac:dyDescent="0.25">
      <c r="B17" s="365" t="s">
        <v>89</v>
      </c>
      <c r="C17" s="365" t="s">
        <v>90</v>
      </c>
      <c r="D17" s="365" t="s">
        <v>91</v>
      </c>
      <c r="E17" s="365" t="s">
        <v>92</v>
      </c>
      <c r="F17" s="364" t="s">
        <v>93</v>
      </c>
      <c r="G17" s="364"/>
      <c r="H17" s="364"/>
      <c r="I17" s="364"/>
      <c r="J17" s="364"/>
      <c r="K17" s="364" t="s">
        <v>94</v>
      </c>
    </row>
    <row r="18" spans="1:11" ht="27" x14ac:dyDescent="0.25">
      <c r="B18" s="365"/>
      <c r="C18" s="365"/>
      <c r="D18" s="365"/>
      <c r="E18" s="365"/>
      <c r="F18" s="27" t="s">
        <v>51</v>
      </c>
      <c r="G18" s="27" t="s">
        <v>52</v>
      </c>
      <c r="H18" s="27" t="s">
        <v>0</v>
      </c>
      <c r="I18" s="27" t="s">
        <v>1</v>
      </c>
      <c r="J18" s="27" t="s">
        <v>3</v>
      </c>
      <c r="K18" s="364"/>
    </row>
    <row r="19" spans="1:11" ht="189.75" customHeight="1" x14ac:dyDescent="0.25">
      <c r="B19" s="22" t="s">
        <v>312</v>
      </c>
      <c r="C19" s="208" t="s">
        <v>523</v>
      </c>
      <c r="D19" s="21" t="s">
        <v>47</v>
      </c>
      <c r="E19" s="133" t="s">
        <v>150</v>
      </c>
      <c r="F19" s="209">
        <v>2096.3000000000002</v>
      </c>
      <c r="G19" s="210">
        <v>450</v>
      </c>
      <c r="H19" s="21"/>
      <c r="I19" s="21"/>
      <c r="J19" s="21"/>
      <c r="K19" s="133" t="s">
        <v>524</v>
      </c>
    </row>
    <row r="20" spans="1:11" ht="27" x14ac:dyDescent="0.25">
      <c r="B20" s="21"/>
      <c r="C20" s="208" t="s">
        <v>525</v>
      </c>
      <c r="D20" s="21" t="s">
        <v>47</v>
      </c>
      <c r="E20" s="133" t="s">
        <v>150</v>
      </c>
      <c r="F20" s="209">
        <v>50.2</v>
      </c>
      <c r="G20" s="210">
        <v>130</v>
      </c>
      <c r="H20" s="21"/>
      <c r="I20" s="21"/>
      <c r="J20" s="21"/>
      <c r="K20" s="21"/>
    </row>
    <row r="21" spans="1:11" ht="27" x14ac:dyDescent="0.25">
      <c r="B21" s="21"/>
      <c r="C21" s="211" t="s">
        <v>526</v>
      </c>
      <c r="D21" s="21" t="s">
        <v>47</v>
      </c>
      <c r="E21" s="133" t="s">
        <v>150</v>
      </c>
      <c r="F21" s="209">
        <v>3.1819999999999999</v>
      </c>
      <c r="G21" s="210">
        <v>100</v>
      </c>
      <c r="H21" s="21"/>
      <c r="I21" s="21"/>
      <c r="J21" s="21"/>
      <c r="K21" s="21"/>
    </row>
    <row r="22" spans="1:11" ht="27" x14ac:dyDescent="0.25">
      <c r="B22" s="21"/>
      <c r="C22" s="211" t="s">
        <v>527</v>
      </c>
      <c r="D22" s="21" t="s">
        <v>47</v>
      </c>
      <c r="E22" s="133" t="s">
        <v>150</v>
      </c>
      <c r="F22" s="209">
        <v>423.37</v>
      </c>
      <c r="G22" s="210">
        <v>260</v>
      </c>
      <c r="H22" s="21"/>
      <c r="I22" s="21"/>
      <c r="J22" s="21"/>
      <c r="K22" s="21"/>
    </row>
    <row r="23" spans="1:11" ht="17.25" x14ac:dyDescent="0.25">
      <c r="B23" s="3"/>
      <c r="C23" s="3"/>
      <c r="D23" s="3"/>
      <c r="E23" s="3"/>
      <c r="F23" s="3"/>
      <c r="G23" s="3"/>
      <c r="H23" s="3"/>
      <c r="I23" s="3"/>
      <c r="J23" s="3"/>
    </row>
    <row r="24" spans="1:11" ht="15.75" x14ac:dyDescent="0.25">
      <c r="A24" s="12" t="s">
        <v>53</v>
      </c>
      <c r="C24" s="13"/>
      <c r="D24" s="13"/>
      <c r="E24" s="13"/>
      <c r="F24" s="13"/>
      <c r="G24" s="13"/>
      <c r="H24" s="13"/>
      <c r="I24" s="13"/>
      <c r="J24" s="13"/>
    </row>
    <row r="25" spans="1:11" x14ac:dyDescent="0.25">
      <c r="A25" s="14"/>
      <c r="C25" s="15"/>
      <c r="D25" s="15"/>
      <c r="E25" s="15"/>
      <c r="F25" s="15"/>
      <c r="G25" s="15"/>
      <c r="H25" s="15"/>
      <c r="I25" s="15"/>
      <c r="J25" s="15"/>
    </row>
    <row r="26" spans="1:11" x14ac:dyDescent="0.25">
      <c r="A26" s="16" t="s">
        <v>54</v>
      </c>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B29" s="17"/>
      <c r="C29" s="17"/>
      <c r="D29" s="17"/>
      <c r="E29" s="13"/>
      <c r="F29" s="13"/>
      <c r="G29" s="13"/>
      <c r="H29" s="13"/>
      <c r="I29" s="13"/>
      <c r="J29" s="13"/>
    </row>
    <row r="30" spans="1:11" x14ac:dyDescent="0.25">
      <c r="B30" s="17"/>
      <c r="C30" s="17"/>
      <c r="D30" s="17"/>
      <c r="E30" s="13"/>
      <c r="F30" s="13"/>
      <c r="G30" s="13"/>
      <c r="H30" s="13"/>
      <c r="I30" s="13"/>
      <c r="J30" s="13"/>
    </row>
    <row r="31" spans="1:11" x14ac:dyDescent="0.25">
      <c r="A31" s="16" t="s">
        <v>55</v>
      </c>
      <c r="E31" s="13"/>
      <c r="F31" s="13"/>
      <c r="G31" s="13"/>
      <c r="H31" s="13"/>
      <c r="I31" s="13"/>
      <c r="J31" s="13"/>
    </row>
    <row r="32" spans="1:11" ht="62.25" customHeight="1" x14ac:dyDescent="0.25">
      <c r="B32" s="360"/>
      <c r="C32" s="361"/>
      <c r="D32" s="361"/>
      <c r="E32" s="362"/>
      <c r="F32" s="13"/>
      <c r="G32" s="13"/>
      <c r="H32" s="13"/>
      <c r="I32" s="13"/>
      <c r="J32" s="13"/>
    </row>
    <row r="33" spans="1:19" ht="17.25" x14ac:dyDescent="0.25">
      <c r="B33" s="3"/>
      <c r="C33" s="3"/>
      <c r="D33" s="3"/>
      <c r="E33" s="13"/>
      <c r="F33" s="13"/>
      <c r="G33" s="13"/>
      <c r="H33" s="13"/>
      <c r="I33" s="13"/>
      <c r="J33" s="13"/>
    </row>
    <row r="34" spans="1:19" x14ac:dyDescent="0.25">
      <c r="A34" s="7" t="s">
        <v>56</v>
      </c>
    </row>
    <row r="36" spans="1:19" ht="54.75" customHeight="1" x14ac:dyDescent="0.25">
      <c r="B36" s="363" t="s">
        <v>95</v>
      </c>
      <c r="C36" s="4" t="s">
        <v>96</v>
      </c>
      <c r="D36" s="4" t="s">
        <v>97</v>
      </c>
      <c r="E36" s="358" t="s">
        <v>98</v>
      </c>
      <c r="F36" s="358"/>
      <c r="G36" s="358"/>
      <c r="H36" s="358" t="s">
        <v>99</v>
      </c>
      <c r="I36" s="358"/>
      <c r="J36" s="358"/>
      <c r="K36" s="358" t="s">
        <v>100</v>
      </c>
      <c r="L36" s="358"/>
      <c r="M36" s="358"/>
      <c r="N36" s="358" t="s">
        <v>101</v>
      </c>
      <c r="O36" s="358"/>
      <c r="P36" s="358"/>
      <c r="Q36" s="359" t="s">
        <v>102</v>
      </c>
      <c r="R36" s="359"/>
      <c r="S36" s="359"/>
    </row>
    <row r="37" spans="1:19" x14ac:dyDescent="0.25">
      <c r="B37" s="363"/>
      <c r="C37" s="4" t="s">
        <v>35</v>
      </c>
      <c r="D37" s="4" t="s">
        <v>36</v>
      </c>
      <c r="E37" s="19" t="s">
        <v>0</v>
      </c>
      <c r="F37" s="19" t="s">
        <v>1</v>
      </c>
      <c r="G37" s="19" t="s">
        <v>3</v>
      </c>
      <c r="H37" s="19" t="s">
        <v>0</v>
      </c>
      <c r="I37" s="19" t="s">
        <v>1</v>
      </c>
      <c r="J37" s="19" t="s">
        <v>3</v>
      </c>
      <c r="K37" s="19" t="s">
        <v>39</v>
      </c>
      <c r="L37" s="19" t="s">
        <v>38</v>
      </c>
      <c r="M37" s="19" t="s">
        <v>37</v>
      </c>
      <c r="N37" s="19" t="s">
        <v>39</v>
      </c>
      <c r="O37" s="19" t="s">
        <v>38</v>
      </c>
      <c r="P37" s="19" t="s">
        <v>37</v>
      </c>
      <c r="Q37" s="26" t="s">
        <v>0</v>
      </c>
      <c r="R37" s="26" t="s">
        <v>1</v>
      </c>
      <c r="S37" s="26" t="s">
        <v>3</v>
      </c>
    </row>
    <row r="38" spans="1:19" ht="40.5" x14ac:dyDescent="0.25">
      <c r="B38" s="22" t="s">
        <v>312</v>
      </c>
      <c r="C38" s="139">
        <v>4118504.898</v>
      </c>
      <c r="D38" s="139">
        <v>5400685.9000000004</v>
      </c>
      <c r="E38" s="23"/>
      <c r="F38" s="23"/>
      <c r="G38" s="23"/>
      <c r="H38" s="176">
        <v>3949688.7719999999</v>
      </c>
      <c r="I38" s="176">
        <v>3940358.7019999996</v>
      </c>
      <c r="J38" s="176">
        <v>3891781.4019999998</v>
      </c>
      <c r="K38" s="176">
        <f>$C$38+H38+E38</f>
        <v>8068193.6699999999</v>
      </c>
      <c r="L38" s="176">
        <f t="shared" ref="L38:M38" si="0">$C$38+I38+F38</f>
        <v>8058863.5999999996</v>
      </c>
      <c r="M38" s="176">
        <f t="shared" si="0"/>
        <v>8010286.2999999998</v>
      </c>
      <c r="N38" s="23"/>
      <c r="O38" s="23"/>
      <c r="P38" s="23"/>
      <c r="Q38" s="177">
        <f>K38+N38</f>
        <v>8068193.6699999999</v>
      </c>
      <c r="R38" s="177">
        <f>L38+O38</f>
        <v>8058863.5999999996</v>
      </c>
      <c r="S38" s="177">
        <f>M38+P38</f>
        <v>8010286.2999999998</v>
      </c>
    </row>
    <row r="39" spans="1:19" x14ac:dyDescent="0.25">
      <c r="B39" s="22"/>
      <c r="C39" s="22"/>
      <c r="D39" s="22"/>
      <c r="E39" s="23"/>
      <c r="F39" s="23"/>
      <c r="G39" s="23"/>
      <c r="H39" s="23"/>
      <c r="I39" s="23"/>
      <c r="J39" s="23"/>
      <c r="K39" s="19">
        <f>C39+E39+H39</f>
        <v>0</v>
      </c>
      <c r="L39" s="19">
        <f t="shared" ref="K39:M41" si="1">D39+F39+I39</f>
        <v>0</v>
      </c>
      <c r="M39" s="19">
        <f t="shared" si="1"/>
        <v>0</v>
      </c>
      <c r="N39" s="23"/>
      <c r="O39" s="23"/>
      <c r="P39" s="23"/>
      <c r="Q39" s="26">
        <f t="shared" ref="Q39:S41" si="2">K39+N39</f>
        <v>0</v>
      </c>
      <c r="R39" s="26">
        <f t="shared" si="2"/>
        <v>0</v>
      </c>
      <c r="S39" s="26">
        <f t="shared" si="2"/>
        <v>0</v>
      </c>
    </row>
    <row r="40" spans="1:19" x14ac:dyDescent="0.25">
      <c r="B40" s="22"/>
      <c r="C40" s="22"/>
      <c r="D40" s="22"/>
      <c r="E40" s="23"/>
      <c r="F40" s="23"/>
      <c r="G40" s="23"/>
      <c r="H40" s="23"/>
      <c r="I40" s="23"/>
      <c r="J40" s="23"/>
      <c r="K40" s="19">
        <f t="shared" si="1"/>
        <v>0</v>
      </c>
      <c r="L40" s="19">
        <f t="shared" si="1"/>
        <v>0</v>
      </c>
      <c r="M40" s="19">
        <f t="shared" si="1"/>
        <v>0</v>
      </c>
      <c r="N40" s="23"/>
      <c r="O40" s="23"/>
      <c r="P40" s="23"/>
      <c r="Q40" s="26">
        <f t="shared" si="2"/>
        <v>0</v>
      </c>
      <c r="R40" s="26">
        <f t="shared" si="2"/>
        <v>0</v>
      </c>
      <c r="S40" s="26">
        <f t="shared" si="2"/>
        <v>0</v>
      </c>
    </row>
    <row r="41" spans="1:19" x14ac:dyDescent="0.25">
      <c r="B41" s="22"/>
      <c r="C41" s="22"/>
      <c r="D41" s="22"/>
      <c r="E41" s="23"/>
      <c r="F41" s="23"/>
      <c r="G41" s="23"/>
      <c r="H41" s="23"/>
      <c r="I41" s="23"/>
      <c r="J41" s="23"/>
      <c r="K41" s="19">
        <f t="shared" si="1"/>
        <v>0</v>
      </c>
      <c r="L41" s="19">
        <f t="shared" si="1"/>
        <v>0</v>
      </c>
      <c r="M41" s="19">
        <f t="shared" si="1"/>
        <v>0</v>
      </c>
      <c r="N41" s="23"/>
      <c r="O41" s="23"/>
      <c r="P41" s="23"/>
      <c r="Q41" s="26">
        <f t="shared" si="2"/>
        <v>0</v>
      </c>
      <c r="R41" s="26">
        <f t="shared" si="2"/>
        <v>0</v>
      </c>
      <c r="S41" s="26">
        <f t="shared" si="2"/>
        <v>0</v>
      </c>
    </row>
    <row r="42" spans="1:19" ht="28.5" x14ac:dyDescent="0.25">
      <c r="B42" s="18" t="s">
        <v>73</v>
      </c>
      <c r="C42" s="139">
        <v>4118504.898</v>
      </c>
      <c r="D42" s="139">
        <f>+D38</f>
        <v>5400685.9000000004</v>
      </c>
      <c r="E42" s="176">
        <f>E38+E39+E40+E41</f>
        <v>0</v>
      </c>
      <c r="F42" s="176">
        <f t="shared" ref="F42:G42" si="3">F38+F39+F40+F41</f>
        <v>0</v>
      </c>
      <c r="G42" s="176">
        <f t="shared" si="3"/>
        <v>0</v>
      </c>
      <c r="H42" s="176">
        <f>SUM(H38:H41)</f>
        <v>3949688.7719999999</v>
      </c>
      <c r="I42" s="19">
        <f>SUM(I38:I41)</f>
        <v>3940358.7019999996</v>
      </c>
      <c r="J42" s="19">
        <f>SUM(J38:J41)</f>
        <v>3891781.4019999998</v>
      </c>
      <c r="K42" s="176">
        <f>C42+E42+H42</f>
        <v>8068193.6699999999</v>
      </c>
      <c r="L42" s="176">
        <f>C42+F42+I42</f>
        <v>8058863.5999999996</v>
      </c>
      <c r="M42" s="176">
        <f>C42+G42+J42</f>
        <v>8010286.2999999998</v>
      </c>
      <c r="N42" s="4" t="s">
        <v>2</v>
      </c>
      <c r="O42" s="4" t="s">
        <v>2</v>
      </c>
      <c r="P42" s="4" t="s">
        <v>2</v>
      </c>
      <c r="Q42" s="26" t="s">
        <v>2</v>
      </c>
      <c r="R42" s="26" t="s">
        <v>2</v>
      </c>
      <c r="S42" s="26" t="s">
        <v>2</v>
      </c>
    </row>
    <row r="43" spans="1:19" ht="28.5" x14ac:dyDescent="0.25">
      <c r="B43" s="18" t="s">
        <v>60</v>
      </c>
      <c r="C43" s="22"/>
      <c r="D43" s="22"/>
      <c r="E43" s="19" t="s">
        <v>72</v>
      </c>
      <c r="F43" s="19" t="s">
        <v>72</v>
      </c>
      <c r="G43" s="19" t="s">
        <v>72</v>
      </c>
      <c r="H43" s="19" t="s">
        <v>72</v>
      </c>
      <c r="I43" s="19" t="s">
        <v>72</v>
      </c>
      <c r="J43" s="19" t="s">
        <v>72</v>
      </c>
      <c r="K43" s="19">
        <f>C43</f>
        <v>0</v>
      </c>
      <c r="L43" s="176">
        <f>C43</f>
        <v>0</v>
      </c>
      <c r="M43" s="176">
        <f>C43</f>
        <v>0</v>
      </c>
      <c r="N43" s="4" t="s">
        <v>2</v>
      </c>
      <c r="O43" s="4" t="s">
        <v>2</v>
      </c>
      <c r="P43" s="4" t="s">
        <v>2</v>
      </c>
      <c r="Q43" s="26" t="s">
        <v>2</v>
      </c>
      <c r="R43" s="26" t="s">
        <v>2</v>
      </c>
      <c r="S43" s="26" t="s">
        <v>2</v>
      </c>
    </row>
    <row r="44" spans="1:19" x14ac:dyDescent="0.25">
      <c r="B44" s="18" t="s">
        <v>61</v>
      </c>
      <c r="C44" s="176">
        <f>SUM(C38:C41)</f>
        <v>4118504.898</v>
      </c>
      <c r="D44" s="176">
        <f>SUM(D38:D41)</f>
        <v>5400685.9000000004</v>
      </c>
      <c r="E44" s="176">
        <f>E42</f>
        <v>0</v>
      </c>
      <c r="F44" s="176">
        <f t="shared" ref="F44:J44" si="4">F42</f>
        <v>0</v>
      </c>
      <c r="G44" s="176">
        <f t="shared" si="4"/>
        <v>0</v>
      </c>
      <c r="H44" s="176">
        <f>H42</f>
        <v>3949688.7719999999</v>
      </c>
      <c r="I44" s="176">
        <f t="shared" si="4"/>
        <v>3940358.7019999996</v>
      </c>
      <c r="J44" s="176">
        <f t="shared" si="4"/>
        <v>3891781.4019999998</v>
      </c>
      <c r="K44" s="178">
        <f>K42+K43</f>
        <v>8068193.6699999999</v>
      </c>
      <c r="L44" s="178">
        <f t="shared" ref="L44:M44" si="5">L42+L43</f>
        <v>8058863.5999999996</v>
      </c>
      <c r="M44" s="178">
        <f t="shared" si="5"/>
        <v>8010286.2999999998</v>
      </c>
      <c r="N44" s="4">
        <f>SUM(N38:N41)</f>
        <v>0</v>
      </c>
      <c r="O44" s="4">
        <f t="shared" ref="O44:P44" si="6">SUM(O38:O41)</f>
        <v>0</v>
      </c>
      <c r="P44" s="4">
        <f t="shared" si="6"/>
        <v>0</v>
      </c>
      <c r="Q44" s="177">
        <f>K44+N44</f>
        <v>8068193.6699999999</v>
      </c>
      <c r="R44" s="177">
        <f>L44+O44</f>
        <v>8058863.5999999996</v>
      </c>
      <c r="S44" s="177">
        <f>M44+P44</f>
        <v>8010286.2999999998</v>
      </c>
    </row>
    <row r="50" spans="4:4" x14ac:dyDescent="0.25">
      <c r="D50" s="180"/>
    </row>
  </sheetData>
  <mergeCells count="13">
    <mergeCell ref="Q36:S36"/>
    <mergeCell ref="B32:E32"/>
    <mergeCell ref="B36:B37"/>
    <mergeCell ref="E36:G36"/>
    <mergeCell ref="H36:J36"/>
    <mergeCell ref="K36:M36"/>
    <mergeCell ref="N36:P36"/>
    <mergeCell ref="K17:K18"/>
    <mergeCell ref="B17:B18"/>
    <mergeCell ref="C17:C18"/>
    <mergeCell ref="D17:D18"/>
    <mergeCell ref="E17:E18"/>
    <mergeCell ref="F17:J17"/>
  </mergeCells>
  <dataValidations count="4">
    <dataValidation showInputMessage="1" showErrorMessage="1" sqref="E19:E22 K19" xr:uid="{F8A1CA22-20A5-4283-90E4-B6E5BBA62253}"/>
    <dataValidation type="list" allowBlank="1" showInputMessage="1" showErrorMessage="1" sqref="D19:D22" xr:uid="{12896184-C236-47BC-94B5-716AF527FDB7}">
      <formula1>$V$2:$V$3</formula1>
    </dataValidation>
    <dataValidation type="list" allowBlank="1" showInputMessage="1" showErrorMessage="1" sqref="B13" xr:uid="{20E8D3D8-280D-4DA8-B477-5C8104B33C06}">
      <formula1>$U$2:$U$4</formula1>
    </dataValidation>
    <dataValidation type="custom" allowBlank="1" showInputMessage="1" showErrorMessage="1" sqref="N38:P41" xr:uid="{7DB96271-62C6-4C08-8602-94DC73D81187}">
      <formula1>"-"</formula1>
    </dataValidation>
  </dataValidations>
  <hyperlinks>
    <hyperlink ref="C12" location="_ftn1" display="_ftn1" xr:uid="{379FA4A4-F68A-49AD-80C3-40B6001C0BDB}"/>
    <hyperlink ref="D12" location="_ftn2" display="_ftn2" xr:uid="{A72C09B8-841C-4A84-9E3D-AEAB4BB55B21}"/>
    <hyperlink ref="E12" location="_ftn3" display="_ftn3" xr:uid="{96FD2241-A114-42A2-A6CD-A7809D1865D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7889" r:id="rId3" name="Check Box 1">
              <controlPr defaultSize="0" autoFill="0" autoLine="0" autoPict="0">
                <anchor moveWithCells="1">
                  <from>
                    <xdr:col>1</xdr:col>
                    <xdr:colOff>85725</xdr:colOff>
                    <xdr:row>28</xdr:row>
                    <xdr:rowOff>0</xdr:rowOff>
                  </from>
                  <to>
                    <xdr:col>2</xdr:col>
                    <xdr:colOff>1171575</xdr:colOff>
                    <xdr:row>29</xdr:row>
                    <xdr:rowOff>38100</xdr:rowOff>
                  </to>
                </anchor>
              </controlPr>
            </control>
          </mc:Choice>
        </mc:AlternateContent>
        <mc:AlternateContent xmlns:mc="http://schemas.openxmlformats.org/markup-compatibility/2006">
          <mc:Choice Requires="x14">
            <control shapeId="37890" r:id="rId4" name="Check Box 2">
              <controlPr defaultSize="0" autoFill="0" autoLine="0" autoPict="0">
                <anchor moveWithCells="1">
                  <from>
                    <xdr:col>1</xdr:col>
                    <xdr:colOff>85725</xdr:colOff>
                    <xdr:row>25</xdr:row>
                    <xdr:rowOff>171450</xdr:rowOff>
                  </from>
                  <to>
                    <xdr:col>2</xdr:col>
                    <xdr:colOff>1924050</xdr:colOff>
                    <xdr:row>27</xdr:row>
                    <xdr:rowOff>47625</xdr:rowOff>
                  </to>
                </anchor>
              </controlPr>
            </control>
          </mc:Choice>
        </mc:AlternateContent>
        <mc:AlternateContent xmlns:mc="http://schemas.openxmlformats.org/markup-compatibility/2006">
          <mc:Choice Requires="x14">
            <control shapeId="37891" r:id="rId5" name="Check Box 3">
              <controlPr defaultSize="0" autoFill="0" autoLine="0" autoPict="0">
                <anchor moveWithCells="1">
                  <from>
                    <xdr:col>1</xdr:col>
                    <xdr:colOff>85725</xdr:colOff>
                    <xdr:row>27</xdr:row>
                    <xdr:rowOff>28575</xdr:rowOff>
                  </from>
                  <to>
                    <xdr:col>2</xdr:col>
                    <xdr:colOff>1924050</xdr:colOff>
                    <xdr:row>28</xdr:row>
                    <xdr:rowOff>9525</xdr:rowOff>
                  </to>
                </anchor>
              </controlPr>
            </control>
          </mc:Choice>
        </mc:AlternateContent>
        <mc:AlternateContent xmlns:mc="http://schemas.openxmlformats.org/markup-compatibility/2006">
          <mc:Choice Requires="x14">
            <control shapeId="37892" r:id="rId6" name="Check Box 4">
              <controlPr defaultSize="0" autoFill="0" autoLine="0" autoPict="0">
                <anchor moveWithCells="1">
                  <from>
                    <xdr:col>1</xdr:col>
                    <xdr:colOff>95250</xdr:colOff>
                    <xdr:row>29</xdr:row>
                    <xdr:rowOff>9525</xdr:rowOff>
                  </from>
                  <to>
                    <xdr:col>2</xdr:col>
                    <xdr:colOff>571500</xdr:colOff>
                    <xdr:row>30</xdr:row>
                    <xdr:rowOff>9525</xdr:rowOff>
                  </to>
                </anchor>
              </controlPr>
            </control>
          </mc:Choice>
        </mc:AlternateContent>
      </controls>
    </mc:Choice>
  </mc:AlternateContent>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2100D-22AB-49A0-9F18-CBF82085392C}">
  <dimension ref="A1:W53"/>
  <sheetViews>
    <sheetView topLeftCell="A34" workbookViewId="0">
      <selection activeCell="D53" sqref="D53"/>
    </sheetView>
  </sheetViews>
  <sheetFormatPr defaultRowHeight="15" x14ac:dyDescent="0.25"/>
  <cols>
    <col min="1" max="1" width="6" customWidth="1"/>
    <col min="2" max="2" width="33.140625" customWidth="1"/>
    <col min="3" max="3" width="24.85546875" customWidth="1"/>
    <col min="4" max="4" width="31.5703125" customWidth="1"/>
    <col min="5" max="5" width="36.85546875" customWidth="1"/>
    <col min="6" max="6" width="28.42578125" customWidth="1"/>
    <col min="7" max="7" width="22.28515625" customWidth="1"/>
    <col min="8" max="9" width="15.7109375" customWidth="1"/>
    <col min="10" max="10" width="13.85546875" customWidth="1"/>
    <col min="11" max="11" width="18.28515625" bestFit="1" customWidth="1"/>
    <col min="12" max="12" width="14.28515625" customWidth="1"/>
    <col min="13" max="13" width="12.5703125" customWidth="1"/>
    <col min="14" max="14" width="9.5703125" customWidth="1"/>
    <col min="15" max="15" width="8.140625" customWidth="1"/>
    <col min="16" max="16" width="8"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1187</v>
      </c>
      <c r="E5" s="25" t="s">
        <v>83</v>
      </c>
      <c r="F5" s="20">
        <v>2021</v>
      </c>
      <c r="H5" s="3"/>
      <c r="I5" s="3"/>
      <c r="J5" s="3"/>
    </row>
    <row r="6" spans="1:23" ht="36.75" customHeight="1" x14ac:dyDescent="0.25">
      <c r="B6" s="25" t="s">
        <v>80</v>
      </c>
      <c r="C6" s="29" t="s">
        <v>546</v>
      </c>
      <c r="E6" s="25" t="s">
        <v>84</v>
      </c>
      <c r="F6" s="20">
        <v>2026</v>
      </c>
      <c r="H6" s="3"/>
      <c r="I6" s="3"/>
      <c r="J6" s="3"/>
    </row>
    <row r="7" spans="1:23" ht="18" customHeight="1" x14ac:dyDescent="0.25">
      <c r="B7" s="25" t="s">
        <v>81</v>
      </c>
      <c r="C7" s="20">
        <v>12015</v>
      </c>
      <c r="H7" s="3"/>
      <c r="I7" s="3"/>
      <c r="J7" s="3"/>
    </row>
    <row r="8" spans="1:23" ht="70.5" customHeight="1" x14ac:dyDescent="0.25">
      <c r="B8" s="25" t="s">
        <v>82</v>
      </c>
      <c r="C8" s="29" t="s">
        <v>547</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81.75" x14ac:dyDescent="0.3">
      <c r="B13" s="131" t="s">
        <v>48</v>
      </c>
      <c r="C13" s="133" t="s">
        <v>149</v>
      </c>
      <c r="D13" s="21"/>
      <c r="E13" s="132" t="s">
        <v>150</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1.75" customHeight="1" x14ac:dyDescent="0.25">
      <c r="B17" s="365" t="s">
        <v>89</v>
      </c>
      <c r="C17" s="365" t="s">
        <v>90</v>
      </c>
      <c r="D17" s="365" t="s">
        <v>91</v>
      </c>
      <c r="E17" s="365" t="s">
        <v>92</v>
      </c>
      <c r="F17" s="364" t="s">
        <v>93</v>
      </c>
      <c r="G17" s="364"/>
      <c r="H17" s="364"/>
      <c r="I17" s="364"/>
      <c r="J17" s="364"/>
      <c r="K17" s="364" t="s">
        <v>94</v>
      </c>
    </row>
    <row r="18" spans="1:11" ht="21" customHeight="1" x14ac:dyDescent="0.25">
      <c r="B18" s="365"/>
      <c r="C18" s="365"/>
      <c r="D18" s="365"/>
      <c r="E18" s="365"/>
      <c r="F18" s="27" t="s">
        <v>51</v>
      </c>
      <c r="G18" s="27" t="s">
        <v>52</v>
      </c>
      <c r="H18" s="27" t="s">
        <v>0</v>
      </c>
      <c r="I18" s="27" t="s">
        <v>1</v>
      </c>
      <c r="J18" s="27" t="s">
        <v>3</v>
      </c>
      <c r="K18" s="364"/>
    </row>
    <row r="19" spans="1:11" ht="33" customHeight="1" x14ac:dyDescent="0.25">
      <c r="B19" s="21" t="s">
        <v>548</v>
      </c>
      <c r="C19" s="21" t="s">
        <v>323</v>
      </c>
      <c r="D19" s="21" t="s">
        <v>44</v>
      </c>
      <c r="E19" s="21"/>
      <c r="F19" s="21">
        <v>50</v>
      </c>
      <c r="G19" s="21">
        <v>30</v>
      </c>
      <c r="H19" s="21">
        <v>30</v>
      </c>
      <c r="I19" s="21">
        <v>30</v>
      </c>
      <c r="J19" s="21">
        <v>30</v>
      </c>
      <c r="K19" s="21"/>
    </row>
    <row r="20" spans="1:11" ht="33" customHeight="1" x14ac:dyDescent="0.25">
      <c r="B20" s="133" t="s">
        <v>549</v>
      </c>
      <c r="C20" s="21" t="s">
        <v>376</v>
      </c>
      <c r="D20" s="21" t="s">
        <v>47</v>
      </c>
      <c r="E20" s="21"/>
      <c r="F20" s="21">
        <v>39</v>
      </c>
      <c r="G20" s="21">
        <v>50</v>
      </c>
      <c r="H20" s="21">
        <v>400</v>
      </c>
      <c r="I20" s="21">
        <v>400</v>
      </c>
      <c r="J20" s="21">
        <v>0</v>
      </c>
      <c r="K20" s="21"/>
    </row>
    <row r="21" spans="1:11" ht="33" customHeight="1" x14ac:dyDescent="0.25">
      <c r="B21" s="133" t="s">
        <v>550</v>
      </c>
      <c r="C21" s="21" t="s">
        <v>376</v>
      </c>
      <c r="D21" s="21" t="s">
        <v>47</v>
      </c>
      <c r="E21" s="21"/>
      <c r="F21" s="21">
        <v>0</v>
      </c>
      <c r="G21" s="21"/>
      <c r="H21" s="21">
        <v>100</v>
      </c>
      <c r="I21" s="21">
        <v>100</v>
      </c>
      <c r="J21" s="21">
        <v>100</v>
      </c>
      <c r="K21" s="21"/>
    </row>
    <row r="22" spans="1:11" ht="33" customHeight="1" x14ac:dyDescent="0.25">
      <c r="B22" s="214" t="s">
        <v>551</v>
      </c>
      <c r="C22" s="21" t="s">
        <v>376</v>
      </c>
      <c r="D22" s="21" t="s">
        <v>47</v>
      </c>
      <c r="E22" s="21"/>
      <c r="F22" s="21">
        <v>43.9</v>
      </c>
      <c r="G22" s="21">
        <v>100</v>
      </c>
      <c r="H22" s="21">
        <v>100</v>
      </c>
      <c r="I22" s="21">
        <v>50</v>
      </c>
      <c r="J22" s="21"/>
      <c r="K22" s="21"/>
    </row>
    <row r="23" spans="1:11" ht="39.75" customHeight="1" x14ac:dyDescent="0.25"/>
    <row r="24" spans="1:11" ht="17.25" x14ac:dyDescent="0.25">
      <c r="B24" s="3"/>
      <c r="C24" s="3"/>
      <c r="D24" s="3"/>
      <c r="E24" s="3"/>
      <c r="F24" s="3"/>
      <c r="G24" s="3"/>
      <c r="H24" s="3"/>
      <c r="I24" s="3"/>
      <c r="J24" s="3"/>
    </row>
    <row r="25" spans="1:11" ht="15.75" x14ac:dyDescent="0.25">
      <c r="A25" s="12" t="s">
        <v>53</v>
      </c>
      <c r="C25" s="13"/>
      <c r="D25" s="13"/>
      <c r="E25" s="13"/>
      <c r="F25" s="13"/>
      <c r="G25" s="13"/>
      <c r="H25" s="13"/>
      <c r="I25" s="13"/>
      <c r="J25" s="13"/>
    </row>
    <row r="26" spans="1:11" x14ac:dyDescent="0.25">
      <c r="A26" s="14"/>
      <c r="C26" s="15"/>
      <c r="D26" s="15"/>
      <c r="E26" s="15"/>
      <c r="F26" s="15"/>
      <c r="G26" s="15"/>
      <c r="H26" s="15"/>
      <c r="I26" s="15"/>
      <c r="J26" s="15"/>
    </row>
    <row r="27" spans="1:11" x14ac:dyDescent="0.25">
      <c r="A27" s="16" t="s">
        <v>54</v>
      </c>
      <c r="C27" s="17"/>
      <c r="D27" s="17"/>
      <c r="E27" s="13"/>
      <c r="F27" s="13"/>
      <c r="G27" s="13"/>
      <c r="H27" s="13"/>
      <c r="I27" s="13"/>
      <c r="J27" s="13"/>
    </row>
    <row r="28" spans="1:11" x14ac:dyDescent="0.25">
      <c r="B28" s="17"/>
      <c r="C28" s="17"/>
      <c r="D28" s="17"/>
      <c r="E28" s="13"/>
      <c r="F28" s="13"/>
      <c r="G28" s="13"/>
      <c r="H28" s="13"/>
      <c r="I28" s="13"/>
      <c r="J28" s="13"/>
    </row>
    <row r="29" spans="1:11" x14ac:dyDescent="0.25">
      <c r="B29" s="17"/>
      <c r="C29" s="17"/>
      <c r="D29" s="17"/>
      <c r="E29" s="13"/>
      <c r="F29" s="13"/>
      <c r="G29" s="13"/>
      <c r="H29" s="13"/>
      <c r="I29" s="13"/>
      <c r="J29" s="13"/>
    </row>
    <row r="30" spans="1:11" x14ac:dyDescent="0.25">
      <c r="B30" s="17"/>
      <c r="C30" s="17"/>
      <c r="D30" s="17"/>
      <c r="E30" s="13"/>
      <c r="F30" s="13"/>
      <c r="G30" s="13"/>
      <c r="H30" s="13"/>
      <c r="I30" s="13"/>
      <c r="J30" s="13"/>
    </row>
    <row r="31" spans="1:11" x14ac:dyDescent="0.25">
      <c r="B31" s="17"/>
      <c r="C31" s="17"/>
      <c r="D31" s="17"/>
      <c r="E31" s="13"/>
      <c r="F31" s="13"/>
      <c r="G31" s="13"/>
      <c r="H31" s="13"/>
      <c r="I31" s="13"/>
      <c r="J31" s="13"/>
    </row>
    <row r="32" spans="1:11" x14ac:dyDescent="0.25">
      <c r="A32" s="16" t="s">
        <v>55</v>
      </c>
      <c r="E32" s="13"/>
      <c r="F32" s="13"/>
      <c r="G32" s="13"/>
      <c r="H32" s="13"/>
      <c r="I32" s="13"/>
      <c r="J32" s="13"/>
    </row>
    <row r="33" spans="1:19" ht="62.25" customHeight="1" x14ac:dyDescent="0.25">
      <c r="B33" s="360" t="s">
        <v>178</v>
      </c>
      <c r="C33" s="361"/>
      <c r="D33" s="361"/>
      <c r="E33" s="362"/>
      <c r="F33" s="13"/>
      <c r="G33" s="13"/>
      <c r="H33" s="13"/>
      <c r="I33" s="13"/>
      <c r="J33" s="13"/>
    </row>
    <row r="34" spans="1:19" ht="17.25" x14ac:dyDescent="0.25">
      <c r="B34" s="3"/>
      <c r="C34" s="3"/>
      <c r="D34" s="3"/>
      <c r="E34" s="13"/>
      <c r="F34" s="13"/>
      <c r="G34" s="13"/>
      <c r="H34" s="13"/>
      <c r="I34" s="13"/>
      <c r="J34" s="13"/>
    </row>
    <row r="35" spans="1:19" x14ac:dyDescent="0.25">
      <c r="A35" s="7" t="s">
        <v>56</v>
      </c>
    </row>
    <row r="37" spans="1:19" ht="43.5" customHeight="1" x14ac:dyDescent="0.25">
      <c r="B37" s="363" t="s">
        <v>95</v>
      </c>
      <c r="C37" s="4" t="s">
        <v>96</v>
      </c>
      <c r="D37" s="4" t="s">
        <v>97</v>
      </c>
      <c r="E37" s="358" t="s">
        <v>98</v>
      </c>
      <c r="F37" s="358"/>
      <c r="G37" s="358"/>
      <c r="H37" s="358" t="s">
        <v>99</v>
      </c>
      <c r="I37" s="358"/>
      <c r="J37" s="358"/>
      <c r="K37" s="358" t="s">
        <v>100</v>
      </c>
      <c r="L37" s="358"/>
      <c r="M37" s="358"/>
      <c r="N37" s="358" t="s">
        <v>101</v>
      </c>
      <c r="O37" s="358"/>
      <c r="P37" s="358"/>
      <c r="Q37" s="359" t="s">
        <v>102</v>
      </c>
      <c r="R37" s="359"/>
      <c r="S37" s="359"/>
    </row>
    <row r="38" spans="1:19" ht="30" customHeight="1" x14ac:dyDescent="0.25">
      <c r="B38" s="363"/>
      <c r="C38" s="4" t="s">
        <v>35</v>
      </c>
      <c r="D38" s="4" t="s">
        <v>36</v>
      </c>
      <c r="E38" s="19" t="s">
        <v>0</v>
      </c>
      <c r="F38" s="19" t="s">
        <v>1</v>
      </c>
      <c r="G38" s="19" t="s">
        <v>3</v>
      </c>
      <c r="H38" s="19" t="s">
        <v>0</v>
      </c>
      <c r="I38" s="19" t="s">
        <v>1</v>
      </c>
      <c r="J38" s="19" t="s">
        <v>3</v>
      </c>
      <c r="K38" s="19" t="s">
        <v>39</v>
      </c>
      <c r="L38" s="19" t="s">
        <v>38</v>
      </c>
      <c r="M38" s="19" t="s">
        <v>37</v>
      </c>
      <c r="N38" s="19" t="s">
        <v>39</v>
      </c>
      <c r="O38" s="19" t="s">
        <v>38</v>
      </c>
      <c r="P38" s="19" t="s">
        <v>37</v>
      </c>
      <c r="Q38" s="26" t="s">
        <v>0</v>
      </c>
      <c r="R38" s="26" t="s">
        <v>1</v>
      </c>
      <c r="S38" s="26" t="s">
        <v>3</v>
      </c>
    </row>
    <row r="39" spans="1:19" ht="17.25" customHeight="1" x14ac:dyDescent="0.25">
      <c r="B39" s="22" t="s">
        <v>552</v>
      </c>
      <c r="C39" s="51">
        <v>36495.1</v>
      </c>
      <c r="D39" s="51">
        <v>200000</v>
      </c>
      <c r="E39" s="93">
        <v>-14598</v>
      </c>
      <c r="F39" s="93">
        <v>-14598</v>
      </c>
      <c r="G39" s="93">
        <v>-14598</v>
      </c>
      <c r="H39" s="93"/>
      <c r="I39" s="93"/>
      <c r="J39" s="93"/>
      <c r="K39" s="52">
        <f>C39+E39+H39</f>
        <v>21897.1</v>
      </c>
      <c r="L39" s="52">
        <f>C39+F39+I39</f>
        <v>21897.1</v>
      </c>
      <c r="M39" s="52">
        <f>C39+G39+J39</f>
        <v>21897.1</v>
      </c>
      <c r="N39" s="93"/>
      <c r="O39" s="23"/>
      <c r="P39" s="23"/>
      <c r="Q39" s="26">
        <f>K39+N39</f>
        <v>21897.1</v>
      </c>
      <c r="R39" s="26">
        <f>L39+O39</f>
        <v>21897.1</v>
      </c>
      <c r="S39" s="26">
        <f>M39+P39</f>
        <v>21897.1</v>
      </c>
    </row>
    <row r="40" spans="1:19" ht="17.25" customHeight="1" x14ac:dyDescent="0.25">
      <c r="B40" s="22" t="s">
        <v>553</v>
      </c>
      <c r="C40" s="51">
        <v>16982.3</v>
      </c>
      <c r="D40" s="51"/>
      <c r="E40" s="93"/>
      <c r="F40" s="93"/>
      <c r="G40" s="93"/>
      <c r="H40" s="93"/>
      <c r="I40" s="93"/>
      <c r="J40" s="93"/>
      <c r="K40" s="52">
        <f t="shared" ref="K40:K44" si="0">C40+E40+H40</f>
        <v>16982.3</v>
      </c>
      <c r="L40" s="52">
        <f t="shared" ref="L40:L44" si="1">C40+F40+I40</f>
        <v>16982.3</v>
      </c>
      <c r="M40" s="52">
        <f t="shared" ref="M40:M43" si="2">C40+G40+J40</f>
        <v>16982.3</v>
      </c>
      <c r="N40" s="93"/>
      <c r="O40" s="23"/>
      <c r="P40" s="23"/>
      <c r="Q40" s="26"/>
      <c r="R40" s="26"/>
      <c r="S40" s="26"/>
    </row>
    <row r="41" spans="1:19" ht="16.5" customHeight="1" x14ac:dyDescent="0.25">
      <c r="B41" s="22" t="s">
        <v>554</v>
      </c>
      <c r="C41" s="51">
        <v>308420.02</v>
      </c>
      <c r="D41" s="51">
        <v>513682.3</v>
      </c>
      <c r="E41" s="93">
        <v>-123368</v>
      </c>
      <c r="F41" s="93">
        <v>-123368</v>
      </c>
      <c r="G41" s="93">
        <v>-123368</v>
      </c>
      <c r="H41" s="93">
        <v>3016864</v>
      </c>
      <c r="I41" s="93">
        <v>3016864</v>
      </c>
      <c r="J41" s="93">
        <v>0</v>
      </c>
      <c r="K41" s="52">
        <f t="shared" si="0"/>
        <v>3201916.02</v>
      </c>
      <c r="L41" s="52">
        <f t="shared" si="1"/>
        <v>3201916.02</v>
      </c>
      <c r="M41" s="52">
        <f t="shared" si="2"/>
        <v>185052.02000000002</v>
      </c>
      <c r="N41" s="93"/>
      <c r="O41" s="23"/>
      <c r="P41" s="23"/>
      <c r="Q41" s="26">
        <f t="shared" ref="Q41:S44" si="3">K41+N41</f>
        <v>3201916.02</v>
      </c>
      <c r="R41" s="26">
        <f t="shared" si="3"/>
        <v>3201916.02</v>
      </c>
      <c r="S41" s="26">
        <f t="shared" si="3"/>
        <v>185052.02000000002</v>
      </c>
    </row>
    <row r="42" spans="1:19" ht="31.5" customHeight="1" x14ac:dyDescent="0.25">
      <c r="B42" s="22" t="s">
        <v>555</v>
      </c>
      <c r="C42" s="51"/>
      <c r="D42" s="51"/>
      <c r="E42" s="93"/>
      <c r="F42" s="93"/>
      <c r="G42" s="93"/>
      <c r="H42" s="93">
        <v>498792.6</v>
      </c>
      <c r="I42" s="93">
        <v>498792.6</v>
      </c>
      <c r="J42" s="93">
        <v>498792.6</v>
      </c>
      <c r="K42" s="52">
        <f t="shared" si="0"/>
        <v>498792.6</v>
      </c>
      <c r="L42" s="52">
        <f t="shared" si="1"/>
        <v>498792.6</v>
      </c>
      <c r="M42" s="52">
        <f t="shared" si="2"/>
        <v>498792.6</v>
      </c>
      <c r="N42" s="93"/>
      <c r="O42" s="23"/>
      <c r="P42" s="23"/>
      <c r="Q42" s="26"/>
      <c r="R42" s="26"/>
      <c r="S42" s="26"/>
    </row>
    <row r="43" spans="1:19" x14ac:dyDescent="0.25">
      <c r="B43" s="22" t="s">
        <v>556</v>
      </c>
      <c r="C43" s="51">
        <v>34965.1</v>
      </c>
      <c r="D43" s="51"/>
      <c r="E43" s="93"/>
      <c r="F43" s="93"/>
      <c r="G43" s="93"/>
      <c r="H43" s="93">
        <v>67873.5</v>
      </c>
      <c r="I43" s="93">
        <v>67873.5</v>
      </c>
      <c r="J43" s="93">
        <v>7380</v>
      </c>
      <c r="K43" s="52">
        <f t="shared" si="0"/>
        <v>102838.6</v>
      </c>
      <c r="L43" s="52">
        <f t="shared" si="1"/>
        <v>102838.6</v>
      </c>
      <c r="M43" s="52">
        <f t="shared" si="2"/>
        <v>42345.1</v>
      </c>
      <c r="N43" s="93"/>
      <c r="O43" s="23"/>
      <c r="P43" s="23"/>
      <c r="Q43" s="26">
        <f t="shared" si="3"/>
        <v>102838.6</v>
      </c>
      <c r="R43" s="26">
        <f t="shared" si="3"/>
        <v>102838.6</v>
      </c>
      <c r="S43" s="26">
        <f t="shared" si="3"/>
        <v>42345.1</v>
      </c>
    </row>
    <row r="44" spans="1:19" x14ac:dyDescent="0.25">
      <c r="B44" s="22"/>
      <c r="C44" s="51"/>
      <c r="D44" s="51"/>
      <c r="E44" s="93"/>
      <c r="F44" s="93"/>
      <c r="G44" s="93"/>
      <c r="H44" s="93"/>
      <c r="I44" s="93"/>
      <c r="J44" s="93"/>
      <c r="K44" s="52">
        <f t="shared" si="0"/>
        <v>0</v>
      </c>
      <c r="L44" s="52">
        <f t="shared" si="1"/>
        <v>0</v>
      </c>
      <c r="M44" s="52">
        <f t="shared" ref="M44" si="4">E44+G44+J44</f>
        <v>0</v>
      </c>
      <c r="N44" s="93"/>
      <c r="O44" s="23"/>
      <c r="P44" s="23"/>
      <c r="Q44" s="26">
        <f t="shared" si="3"/>
        <v>0</v>
      </c>
      <c r="R44" s="26">
        <f t="shared" si="3"/>
        <v>0</v>
      </c>
      <c r="S44" s="26">
        <f t="shared" si="3"/>
        <v>0</v>
      </c>
    </row>
    <row r="45" spans="1:19" ht="28.5" x14ac:dyDescent="0.25">
      <c r="B45" s="18" t="s">
        <v>73</v>
      </c>
      <c r="C45" s="51">
        <f>+C39+C41+C43+C42</f>
        <v>379880.22</v>
      </c>
      <c r="D45" s="51">
        <f>+D39+D41+D43</f>
        <v>713682.3</v>
      </c>
      <c r="E45" s="52">
        <f>SUM(E39:E44)</f>
        <v>-137966</v>
      </c>
      <c r="F45" s="52">
        <f t="shared" ref="F45:J45" si="5">SUM(F39:F44)</f>
        <v>-137966</v>
      </c>
      <c r="G45" s="52">
        <f t="shared" si="5"/>
        <v>-137966</v>
      </c>
      <c r="H45" s="52">
        <f>SUM(H39:H44)</f>
        <v>3583530.1</v>
      </c>
      <c r="I45" s="52">
        <f t="shared" si="5"/>
        <v>3583530.1</v>
      </c>
      <c r="J45" s="52">
        <f t="shared" si="5"/>
        <v>506172.6</v>
      </c>
      <c r="K45" s="52">
        <f>C45+E45+H45</f>
        <v>3825444.3200000003</v>
      </c>
      <c r="L45" s="52">
        <f>C45+F45+I45</f>
        <v>3825444.3200000003</v>
      </c>
      <c r="M45" s="52">
        <f>C45+G45+J45</f>
        <v>748086.82</v>
      </c>
      <c r="N45" s="82" t="s">
        <v>2</v>
      </c>
      <c r="O45" s="4" t="s">
        <v>2</v>
      </c>
      <c r="P45" s="4" t="s">
        <v>2</v>
      </c>
      <c r="Q45" s="26" t="s">
        <v>2</v>
      </c>
      <c r="R45" s="26" t="s">
        <v>2</v>
      </c>
      <c r="S45" s="26" t="s">
        <v>2</v>
      </c>
    </row>
    <row r="46" spans="1:19" ht="28.5" x14ac:dyDescent="0.25">
      <c r="B46" s="18" t="s">
        <v>60</v>
      </c>
      <c r="C46" s="51">
        <f>+C40</f>
        <v>16982.3</v>
      </c>
      <c r="D46" s="51">
        <f>+D40+D43</f>
        <v>0</v>
      </c>
      <c r="E46" s="52" t="s">
        <v>72</v>
      </c>
      <c r="F46" s="52" t="s">
        <v>72</v>
      </c>
      <c r="G46" s="52" t="s">
        <v>72</v>
      </c>
      <c r="H46" s="52" t="s">
        <v>72</v>
      </c>
      <c r="I46" s="52" t="s">
        <v>72</v>
      </c>
      <c r="J46" s="52" t="s">
        <v>72</v>
      </c>
      <c r="K46" s="52">
        <f>C46</f>
        <v>16982.3</v>
      </c>
      <c r="L46" s="52">
        <f>C46</f>
        <v>16982.3</v>
      </c>
      <c r="M46" s="52">
        <f>C46</f>
        <v>16982.3</v>
      </c>
      <c r="N46" s="82" t="s">
        <v>2</v>
      </c>
      <c r="O46" s="4" t="s">
        <v>2</v>
      </c>
      <c r="P46" s="4" t="s">
        <v>2</v>
      </c>
      <c r="Q46" s="26" t="s">
        <v>2</v>
      </c>
      <c r="R46" s="26" t="s">
        <v>2</v>
      </c>
      <c r="S46" s="26" t="s">
        <v>2</v>
      </c>
    </row>
    <row r="47" spans="1:19" s="199" customFormat="1" x14ac:dyDescent="0.25">
      <c r="B47" s="246" t="s">
        <v>698</v>
      </c>
      <c r="C47" s="259">
        <f>SUM(C39:C44)</f>
        <v>396862.52</v>
      </c>
      <c r="D47" s="259">
        <f>SUM(D39:D44)</f>
        <v>713682.3</v>
      </c>
      <c r="E47" s="259">
        <f>E45</f>
        <v>-137966</v>
      </c>
      <c r="F47" s="259">
        <f t="shared" ref="F47:J47" si="6">F45</f>
        <v>-137966</v>
      </c>
      <c r="G47" s="259">
        <f t="shared" si="6"/>
        <v>-137966</v>
      </c>
      <c r="H47" s="259">
        <f t="shared" si="6"/>
        <v>3583530.1</v>
      </c>
      <c r="I47" s="259">
        <f t="shared" si="6"/>
        <v>3583530.1</v>
      </c>
      <c r="J47" s="259">
        <f t="shared" si="6"/>
        <v>506172.6</v>
      </c>
      <c r="K47" s="260">
        <f>K45+K46</f>
        <v>3842426.62</v>
      </c>
      <c r="L47" s="260">
        <f t="shared" ref="L47:M47" si="7">L45+L46</f>
        <v>3842426.62</v>
      </c>
      <c r="M47" s="260">
        <f t="shared" si="7"/>
        <v>765069.12</v>
      </c>
      <c r="N47" s="260">
        <f>SUM(N39:N44)</f>
        <v>0</v>
      </c>
      <c r="O47" s="256">
        <f t="shared" ref="O47:P47" si="8">SUM(O39:O44)</f>
        <v>0</v>
      </c>
      <c r="P47" s="256">
        <f t="shared" si="8"/>
        <v>0</v>
      </c>
      <c r="Q47" s="276">
        <f>K47+N47</f>
        <v>3842426.62</v>
      </c>
      <c r="R47" s="276">
        <f>L47+O47</f>
        <v>3842426.62</v>
      </c>
      <c r="S47" s="276">
        <f>M47+P47</f>
        <v>765069.12</v>
      </c>
    </row>
    <row r="50" spans="4:7" x14ac:dyDescent="0.25">
      <c r="G50" s="302">
        <v>0</v>
      </c>
    </row>
    <row r="53" spans="4:7" x14ac:dyDescent="0.25">
      <c r="D53" s="84">
        <f>+C41+C43</f>
        <v>343385.12</v>
      </c>
    </row>
  </sheetData>
  <mergeCells count="13">
    <mergeCell ref="Q37:S37"/>
    <mergeCell ref="B33:E33"/>
    <mergeCell ref="B37:B38"/>
    <mergeCell ref="E37:G37"/>
    <mergeCell ref="H37:J37"/>
    <mergeCell ref="K37:M37"/>
    <mergeCell ref="N37:P37"/>
    <mergeCell ref="K17:K18"/>
    <mergeCell ref="B17:B18"/>
    <mergeCell ref="C17:C18"/>
    <mergeCell ref="D17:D18"/>
    <mergeCell ref="E17:E18"/>
    <mergeCell ref="F17:J17"/>
  </mergeCells>
  <dataValidations count="4">
    <dataValidation type="list" allowBlank="1" showInputMessage="1" showErrorMessage="1" sqref="D19:D22" xr:uid="{CA9474EF-21E4-4BE4-B5C6-0FA3B086A3D2}">
      <formula1>$V$2:$V$3</formula1>
    </dataValidation>
    <dataValidation showInputMessage="1" showErrorMessage="1" sqref="E19:E22" xr:uid="{FD000198-6290-4E44-BC4C-E2EA1BDB7F29}"/>
    <dataValidation type="custom" allowBlank="1" showInputMessage="1" showErrorMessage="1" sqref="N39:P44" xr:uid="{B530ECB8-9973-434E-BDC7-CE147B2C08F9}">
      <formula1>"-"</formula1>
    </dataValidation>
    <dataValidation type="list" allowBlank="1" showInputMessage="1" showErrorMessage="1" sqref="B13" xr:uid="{AD2DFA58-D3A4-4D0B-8313-77CEB0794EB4}">
      <formula1>$U$2:$U$4</formula1>
    </dataValidation>
  </dataValidations>
  <hyperlinks>
    <hyperlink ref="C12" location="_ftn1" display="_ftn1" xr:uid="{C4DD4D5C-D7B5-4621-81C6-570FAC16D845}"/>
    <hyperlink ref="D12" location="_ftn2" display="_ftn2" xr:uid="{0570DC2E-28CA-40D9-B70F-B84C714B4A2E}"/>
    <hyperlink ref="E12" location="_ftn3" display="_ftn3" xr:uid="{671DF600-C494-4334-B740-899DA9F1FEA0}"/>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9937" r:id="rId3" name="Check Box 1">
              <controlPr defaultSize="0" autoFill="0" autoLine="0" autoPict="0">
                <anchor moveWithCells="1">
                  <from>
                    <xdr:col>1</xdr:col>
                    <xdr:colOff>85725</xdr:colOff>
                    <xdr:row>29</xdr:row>
                    <xdr:rowOff>0</xdr:rowOff>
                  </from>
                  <to>
                    <xdr:col>2</xdr:col>
                    <xdr:colOff>1171575</xdr:colOff>
                    <xdr:row>30</xdr:row>
                    <xdr:rowOff>38100</xdr:rowOff>
                  </to>
                </anchor>
              </controlPr>
            </control>
          </mc:Choice>
        </mc:AlternateContent>
        <mc:AlternateContent xmlns:mc="http://schemas.openxmlformats.org/markup-compatibility/2006">
          <mc:Choice Requires="x14">
            <control shapeId="39938" r:id="rId4" name="Check Box 2">
              <controlPr defaultSize="0" autoFill="0" autoLine="0" autoPict="0">
                <anchor moveWithCells="1">
                  <from>
                    <xdr:col>1</xdr:col>
                    <xdr:colOff>85725</xdr:colOff>
                    <xdr:row>26</xdr:row>
                    <xdr:rowOff>171450</xdr:rowOff>
                  </from>
                  <to>
                    <xdr:col>3</xdr:col>
                    <xdr:colOff>266700</xdr:colOff>
                    <xdr:row>28</xdr:row>
                    <xdr:rowOff>47625</xdr:rowOff>
                  </to>
                </anchor>
              </controlPr>
            </control>
          </mc:Choice>
        </mc:AlternateContent>
        <mc:AlternateContent xmlns:mc="http://schemas.openxmlformats.org/markup-compatibility/2006">
          <mc:Choice Requires="x14">
            <control shapeId="39939" r:id="rId5" name="Check Box 3">
              <controlPr defaultSize="0" autoFill="0" autoLine="0" autoPict="0">
                <anchor moveWithCells="1">
                  <from>
                    <xdr:col>1</xdr:col>
                    <xdr:colOff>85725</xdr:colOff>
                    <xdr:row>28</xdr:row>
                    <xdr:rowOff>28575</xdr:rowOff>
                  </from>
                  <to>
                    <xdr:col>3</xdr:col>
                    <xdr:colOff>266700</xdr:colOff>
                    <xdr:row>29</xdr:row>
                    <xdr:rowOff>9525</xdr:rowOff>
                  </to>
                </anchor>
              </controlPr>
            </control>
          </mc:Choice>
        </mc:AlternateContent>
        <mc:AlternateContent xmlns:mc="http://schemas.openxmlformats.org/markup-compatibility/2006">
          <mc:Choice Requires="x14">
            <control shapeId="39940" r:id="rId6" name="Check Box 4">
              <controlPr defaultSize="0" autoFill="0" autoLine="0" autoPict="0">
                <anchor moveWithCells="1">
                  <from>
                    <xdr:col>1</xdr:col>
                    <xdr:colOff>95250</xdr:colOff>
                    <xdr:row>30</xdr:row>
                    <xdr:rowOff>9525</xdr:rowOff>
                  </from>
                  <to>
                    <xdr:col>2</xdr:col>
                    <xdr:colOff>571500</xdr:colOff>
                    <xdr:row>31</xdr:row>
                    <xdr:rowOff>9525</xdr:rowOff>
                  </to>
                </anchor>
              </controlPr>
            </control>
          </mc:Choice>
        </mc:AlternateContent>
      </controls>
    </mc:Choice>
  </mc:AlternateContent>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B0060-67F1-40FC-BE1C-BC67B0F69A7F}">
  <dimension ref="A1:W55"/>
  <sheetViews>
    <sheetView topLeftCell="A25" workbookViewId="0">
      <selection activeCell="K49" sqref="K49"/>
    </sheetView>
  </sheetViews>
  <sheetFormatPr defaultRowHeight="15" x14ac:dyDescent="0.25"/>
  <cols>
    <col min="1" max="1" width="6" customWidth="1"/>
    <col min="2" max="2" width="34.42578125" customWidth="1"/>
    <col min="3" max="3" width="23.42578125" customWidth="1"/>
    <col min="4" max="4" width="19.140625" customWidth="1"/>
    <col min="5" max="5" width="17.140625" hidden="1" customWidth="1"/>
    <col min="6" max="6" width="15.85546875" hidden="1" customWidth="1"/>
    <col min="7" max="7" width="14.28515625" hidden="1" customWidth="1"/>
    <col min="8" max="8" width="13" hidden="1" customWidth="1"/>
    <col min="9" max="9" width="12.85546875" hidden="1" customWidth="1"/>
    <col min="10" max="10" width="14" hidden="1" customWidth="1"/>
    <col min="11" max="11" width="17.140625" customWidth="1"/>
    <col min="12" max="12" width="11.7109375" customWidth="1"/>
    <col min="13" max="13" width="13.140625" customWidth="1"/>
    <col min="14" max="14" width="9.5703125" customWidth="1"/>
    <col min="15" max="15" width="8.140625" customWidth="1"/>
    <col min="16" max="16" width="8" customWidth="1"/>
    <col min="17" max="19" width="11"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42" customHeight="1" x14ac:dyDescent="0.25">
      <c r="B5" s="25" t="s">
        <v>79</v>
      </c>
      <c r="C5" s="20">
        <v>1190</v>
      </c>
      <c r="E5" s="25" t="s">
        <v>83</v>
      </c>
      <c r="F5" s="20"/>
      <c r="H5" s="3"/>
      <c r="I5" s="3"/>
      <c r="J5" s="3"/>
    </row>
    <row r="6" spans="1:23" ht="53.25" customHeight="1" x14ac:dyDescent="0.25">
      <c r="B6" s="25" t="s">
        <v>80</v>
      </c>
      <c r="C6" s="29" t="s">
        <v>751</v>
      </c>
      <c r="E6" s="25" t="s">
        <v>84</v>
      </c>
      <c r="F6" s="20" t="s">
        <v>132</v>
      </c>
      <c r="H6" s="3"/>
      <c r="I6" s="3"/>
      <c r="J6" s="3"/>
    </row>
    <row r="7" spans="1:23" ht="18" customHeight="1" x14ac:dyDescent="0.25">
      <c r="B7" s="25" t="s">
        <v>81</v>
      </c>
      <c r="C7" s="20">
        <v>11001</v>
      </c>
      <c r="H7" s="3"/>
      <c r="I7" s="3"/>
      <c r="J7" s="3"/>
    </row>
    <row r="8" spans="1:23" ht="66" customHeight="1" x14ac:dyDescent="0.25">
      <c r="B8" s="25" t="s">
        <v>82</v>
      </c>
      <c r="C8" s="29" t="s">
        <v>752</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106.15" customHeight="1" x14ac:dyDescent="0.25">
      <c r="B12" s="10" t="s">
        <v>85</v>
      </c>
      <c r="C12" s="28" t="s">
        <v>86</v>
      </c>
      <c r="D12" s="28" t="s">
        <v>87</v>
      </c>
      <c r="E12" s="28" t="s">
        <v>88</v>
      </c>
      <c r="F12" s="3"/>
      <c r="G12" s="3"/>
      <c r="H12" s="3"/>
      <c r="I12" s="3"/>
      <c r="J12" s="3"/>
    </row>
    <row r="13" spans="1:23" ht="99.75" customHeight="1" x14ac:dyDescent="0.3">
      <c r="B13" s="31" t="s">
        <v>43</v>
      </c>
      <c r="C13" s="32" t="s">
        <v>752</v>
      </c>
      <c r="D13" s="32"/>
      <c r="E13" s="32"/>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6.25" customHeight="1" x14ac:dyDescent="0.25">
      <c r="B17" s="365" t="s">
        <v>89</v>
      </c>
      <c r="C17" s="365" t="s">
        <v>90</v>
      </c>
      <c r="D17" s="365" t="s">
        <v>91</v>
      </c>
      <c r="E17" s="365" t="s">
        <v>92</v>
      </c>
      <c r="F17" s="364" t="s">
        <v>93</v>
      </c>
      <c r="G17" s="364"/>
      <c r="H17" s="364"/>
      <c r="I17" s="364"/>
      <c r="J17" s="364"/>
      <c r="K17" s="364" t="s">
        <v>94</v>
      </c>
    </row>
    <row r="18" spans="1:11" ht="37.5" customHeight="1" x14ac:dyDescent="0.25">
      <c r="B18" s="365"/>
      <c r="C18" s="365"/>
      <c r="D18" s="365"/>
      <c r="E18" s="365"/>
      <c r="F18" s="27" t="s">
        <v>51</v>
      </c>
      <c r="G18" s="27" t="s">
        <v>52</v>
      </c>
      <c r="H18" s="27" t="s">
        <v>0</v>
      </c>
      <c r="I18" s="27" t="s">
        <v>1</v>
      </c>
      <c r="J18" s="27" t="s">
        <v>3</v>
      </c>
      <c r="K18" s="364"/>
    </row>
    <row r="19" spans="1:11" ht="84" customHeight="1" x14ac:dyDescent="0.25">
      <c r="B19" s="32" t="s">
        <v>752</v>
      </c>
      <c r="C19" s="30" t="s">
        <v>111</v>
      </c>
      <c r="D19" s="30"/>
      <c r="E19" s="30"/>
      <c r="F19" s="37">
        <f>+C49</f>
        <v>131363.726</v>
      </c>
      <c r="G19" s="37">
        <f>+D49</f>
        <v>147356.4</v>
      </c>
      <c r="H19" s="37">
        <f>+K49</f>
        <v>153749.67599999998</v>
      </c>
      <c r="I19" s="37">
        <f>+L49</f>
        <v>153642.50099999999</v>
      </c>
      <c r="J19" s="37">
        <f>+M49</f>
        <v>154795.54799999998</v>
      </c>
      <c r="K19" s="38"/>
    </row>
    <row r="20" spans="1:11" ht="17.25" x14ac:dyDescent="0.25">
      <c r="B20" s="3"/>
      <c r="C20" s="3"/>
      <c r="D20" s="3"/>
      <c r="E20" s="3"/>
      <c r="F20" s="3"/>
      <c r="G20" s="3"/>
      <c r="H20" s="3"/>
      <c r="I20" s="3"/>
      <c r="J20" s="3"/>
    </row>
    <row r="21" spans="1:11" ht="15.75" x14ac:dyDescent="0.25">
      <c r="A21" s="12" t="s">
        <v>53</v>
      </c>
      <c r="C21" s="13"/>
      <c r="D21" s="13"/>
      <c r="E21" s="13"/>
      <c r="F21" s="13"/>
      <c r="G21" s="13"/>
      <c r="H21" s="35"/>
      <c r="I21" s="13"/>
      <c r="J21" s="13"/>
    </row>
    <row r="22" spans="1:11" x14ac:dyDescent="0.25">
      <c r="A22" s="14"/>
      <c r="C22" s="15"/>
      <c r="D22" s="15"/>
      <c r="E22" s="15"/>
      <c r="F22" s="15"/>
      <c r="G22" s="15"/>
      <c r="H22" s="15"/>
      <c r="I22" s="15"/>
      <c r="J22" s="15"/>
    </row>
    <row r="23" spans="1:11" x14ac:dyDescent="0.25">
      <c r="A23" s="16" t="s">
        <v>54</v>
      </c>
      <c r="C23" s="17"/>
      <c r="D23" s="17"/>
      <c r="E23" s="13"/>
      <c r="F23" s="13"/>
      <c r="G23" s="13"/>
      <c r="H23" s="13"/>
      <c r="I23" s="13"/>
      <c r="J23" s="13"/>
    </row>
    <row r="24" spans="1:11" x14ac:dyDescent="0.25">
      <c r="B24" s="17"/>
      <c r="C24" s="17"/>
      <c r="D24" s="17"/>
      <c r="E24" s="13"/>
      <c r="F24" s="13"/>
      <c r="G24" s="13"/>
      <c r="H24" s="13"/>
      <c r="I24" s="13"/>
      <c r="J24" s="13"/>
    </row>
    <row r="25" spans="1:11" x14ac:dyDescent="0.25">
      <c r="B25" s="17"/>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A28" s="16" t="s">
        <v>55</v>
      </c>
      <c r="E28" s="13"/>
      <c r="F28" s="13"/>
      <c r="G28" s="13"/>
      <c r="H28" s="13"/>
      <c r="I28" s="13"/>
      <c r="J28" s="13"/>
    </row>
    <row r="29" spans="1:11" ht="31.15" customHeight="1" x14ac:dyDescent="0.25">
      <c r="B29" s="360" t="s">
        <v>753</v>
      </c>
      <c r="C29" s="361"/>
      <c r="D29" s="361"/>
      <c r="E29" s="362"/>
      <c r="F29" s="13"/>
      <c r="G29" s="13"/>
      <c r="H29" s="13"/>
      <c r="I29" s="13"/>
      <c r="J29" s="13"/>
    </row>
    <row r="30" spans="1:11" ht="17.25" x14ac:dyDescent="0.25">
      <c r="B30" s="3"/>
      <c r="C30" s="3"/>
      <c r="D30" s="3"/>
      <c r="E30" s="13"/>
      <c r="F30" s="13"/>
      <c r="G30" s="13"/>
      <c r="H30" s="13"/>
      <c r="I30" s="13"/>
      <c r="J30" s="13"/>
    </row>
    <row r="31" spans="1:11" x14ac:dyDescent="0.25">
      <c r="A31" s="7" t="s">
        <v>56</v>
      </c>
    </row>
    <row r="32" spans="1:11" x14ac:dyDescent="0.25">
      <c r="F32" s="84"/>
    </row>
    <row r="33" spans="2:19" ht="43.5" customHeight="1" x14ac:dyDescent="0.25">
      <c r="B33" s="363" t="s">
        <v>95</v>
      </c>
      <c r="C33" s="4" t="s">
        <v>96</v>
      </c>
      <c r="D33" s="4" t="s">
        <v>97</v>
      </c>
      <c r="E33" s="358" t="s">
        <v>98</v>
      </c>
      <c r="F33" s="358"/>
      <c r="G33" s="358"/>
      <c r="H33" s="358" t="s">
        <v>99</v>
      </c>
      <c r="I33" s="358"/>
      <c r="J33" s="358"/>
      <c r="K33" s="358" t="s">
        <v>100</v>
      </c>
      <c r="L33" s="358"/>
      <c r="M33" s="358"/>
      <c r="N33" s="358" t="s">
        <v>101</v>
      </c>
      <c r="O33" s="358"/>
      <c r="P33" s="358"/>
      <c r="Q33" s="359" t="s">
        <v>102</v>
      </c>
      <c r="R33" s="359"/>
      <c r="S33" s="359"/>
    </row>
    <row r="34" spans="2:19" ht="30" customHeight="1" x14ac:dyDescent="0.25">
      <c r="B34" s="363"/>
      <c r="C34" s="4" t="s">
        <v>35</v>
      </c>
      <c r="D34" s="4" t="s">
        <v>36</v>
      </c>
      <c r="E34" s="19" t="s">
        <v>0</v>
      </c>
      <c r="F34" s="19" t="s">
        <v>1</v>
      </c>
      <c r="G34" s="19" t="s">
        <v>3</v>
      </c>
      <c r="H34" s="19" t="s">
        <v>0</v>
      </c>
      <c r="I34" s="19" t="s">
        <v>1</v>
      </c>
      <c r="J34" s="19" t="s">
        <v>3</v>
      </c>
      <c r="K34" s="19" t="s">
        <v>39</v>
      </c>
      <c r="L34" s="19" t="s">
        <v>38</v>
      </c>
      <c r="M34" s="19" t="s">
        <v>37</v>
      </c>
      <c r="N34" s="19" t="s">
        <v>39</v>
      </c>
      <c r="O34" s="19" t="s">
        <v>38</v>
      </c>
      <c r="P34" s="19" t="s">
        <v>37</v>
      </c>
      <c r="Q34" s="26" t="s">
        <v>0</v>
      </c>
      <c r="R34" s="26" t="s">
        <v>1</v>
      </c>
      <c r="S34" s="26" t="s">
        <v>3</v>
      </c>
    </row>
    <row r="35" spans="2:19" ht="27" customHeight="1" x14ac:dyDescent="0.25">
      <c r="B35" s="22" t="s">
        <v>105</v>
      </c>
      <c r="C35" s="39">
        <f>+'[6]2-ԸՆԴԱՄԵՆԸ ԾԱԽՍԵՐ'!$E$18</f>
        <v>129412.9</v>
      </c>
      <c r="D35" s="39">
        <f>+'[6]2-ԸՆԴԱՄԵՆԸ ԾԱԽՍԵՐ'!$F$18</f>
        <v>142546.6</v>
      </c>
      <c r="E35" s="40">
        <f>+K35-C35</f>
        <v>19503.676000000007</v>
      </c>
      <c r="F35" s="40">
        <f>+L35-C35</f>
        <v>19292.801000000007</v>
      </c>
      <c r="G35" s="40">
        <f>+M35-C35</f>
        <v>20445.847999999998</v>
      </c>
      <c r="H35" s="40"/>
      <c r="I35" s="40"/>
      <c r="J35" s="40"/>
      <c r="K35" s="41">
        <f>+'[6]2-ԸՆԴԱՄԵՆԸ ԾԱԽՍԵՐ'!$G$18</f>
        <v>148916.576</v>
      </c>
      <c r="L35" s="41">
        <f>+'[6]2-ԸՆԴԱՄԵՆԸ ԾԱԽՍԵՐ'!$K$18</f>
        <v>148705.701</v>
      </c>
      <c r="M35" s="41">
        <f>+'[6]2-ԸՆԴԱՄԵՆԸ ԾԱԽՍԵՐ'!$L$18</f>
        <v>149858.74799999999</v>
      </c>
      <c r="N35" s="40"/>
      <c r="O35" s="40"/>
      <c r="P35" s="40"/>
      <c r="Q35" s="43">
        <f>K35+N35</f>
        <v>148916.576</v>
      </c>
      <c r="R35" s="43">
        <f>L35+O35</f>
        <v>148705.701</v>
      </c>
      <c r="S35" s="43">
        <f>M35+P35</f>
        <v>149858.74799999999</v>
      </c>
    </row>
    <row r="36" spans="2:19" x14ac:dyDescent="0.25">
      <c r="B36" s="22" t="s">
        <v>112</v>
      </c>
      <c r="C36" s="39">
        <v>0</v>
      </c>
      <c r="D36" s="39">
        <f>+'[6]2-ԸՆԴԱՄԵՆԸ ԾԱԽՍԵՐ'!$F$34</f>
        <v>40</v>
      </c>
      <c r="E36" s="40">
        <f t="shared" ref="E36" si="0">+K36-C36</f>
        <v>40</v>
      </c>
      <c r="F36" s="40">
        <f t="shared" ref="F36:F45" si="1">+L36-C36</f>
        <v>40</v>
      </c>
      <c r="G36" s="40">
        <f t="shared" ref="G36:G45" si="2">+M36-C36</f>
        <v>40</v>
      </c>
      <c r="H36" s="40"/>
      <c r="I36" s="40"/>
      <c r="J36" s="40"/>
      <c r="K36" s="41">
        <f>+'[6]2-ԸՆԴԱՄԵՆԸ ԾԱԽՍԵՐ'!$G$34</f>
        <v>40</v>
      </c>
      <c r="L36" s="41">
        <f>+'[6]2-ԸՆԴԱՄԵՆԸ ԾԱԽՍԵՐ'!$G$34</f>
        <v>40</v>
      </c>
      <c r="M36" s="41">
        <f>+'[6]2-ԸՆԴԱՄԵՆԸ ԾԱԽՍԵՐ'!$G$34</f>
        <v>40</v>
      </c>
      <c r="N36" s="40"/>
      <c r="O36" s="40"/>
      <c r="P36" s="40"/>
      <c r="Q36" s="43">
        <f t="shared" ref="Q36:S46" si="3">K36+N36</f>
        <v>40</v>
      </c>
      <c r="R36" s="43">
        <f t="shared" si="3"/>
        <v>40</v>
      </c>
      <c r="S36" s="43">
        <f t="shared" si="3"/>
        <v>40</v>
      </c>
    </row>
    <row r="37" spans="2:19" x14ac:dyDescent="0.25">
      <c r="B37" s="22" t="s">
        <v>113</v>
      </c>
      <c r="C37" s="39">
        <f>+'[6]2-ԸՆԴԱՄԵՆԸ ԾԱԽՍԵՐ'!$E$39</f>
        <v>211.4</v>
      </c>
      <c r="D37" s="39">
        <f>+'[6]2-ԸՆԴԱՄԵՆԸ ԾԱԽՍԵՐ'!$F$39</f>
        <v>1300</v>
      </c>
      <c r="E37" s="40">
        <f>+K37-C37</f>
        <v>1088.5999999999999</v>
      </c>
      <c r="F37" s="40">
        <f t="shared" si="1"/>
        <v>1088.5999999999999</v>
      </c>
      <c r="G37" s="40">
        <f t="shared" si="2"/>
        <v>1088.5999999999999</v>
      </c>
      <c r="H37" s="40"/>
      <c r="I37" s="40"/>
      <c r="J37" s="40"/>
      <c r="K37" s="41">
        <f>+'[6]2-ԸՆԴԱՄԵՆԸ ԾԱԽՍԵՐ'!$G$37</f>
        <v>1300</v>
      </c>
      <c r="L37" s="41">
        <f>+'[6]2-ԸՆԴԱՄԵՆԸ ԾԱԽՍԵՐ'!$G$37</f>
        <v>1300</v>
      </c>
      <c r="M37" s="41">
        <f>+'[6]2-ԸՆԴԱՄԵՆԸ ԾԱԽՍԵՐ'!$G$37</f>
        <v>1300</v>
      </c>
      <c r="N37" s="40"/>
      <c r="O37" s="40"/>
      <c r="P37" s="40"/>
      <c r="Q37" s="43">
        <f t="shared" si="3"/>
        <v>1300</v>
      </c>
      <c r="R37" s="43">
        <f t="shared" si="3"/>
        <v>1300</v>
      </c>
      <c r="S37" s="43">
        <f t="shared" si="3"/>
        <v>1300</v>
      </c>
    </row>
    <row r="38" spans="2:19" x14ac:dyDescent="0.25">
      <c r="B38" s="22" t="s">
        <v>114</v>
      </c>
      <c r="C38" s="39">
        <f>+'[6]2-ԸՆԴԱՄԵՆԸ ԾԱԽՍԵՐ'!$E$42</f>
        <v>0</v>
      </c>
      <c r="D38" s="39">
        <f>+'[6]2-ԸՆԴԱՄԵՆԸ ԾԱԽՍԵՐ'!$F$42</f>
        <v>656</v>
      </c>
      <c r="E38" s="40">
        <f t="shared" ref="E38:E40" si="4">+K38-C38</f>
        <v>656</v>
      </c>
      <c r="F38" s="40">
        <f t="shared" si="1"/>
        <v>656</v>
      </c>
      <c r="G38" s="40">
        <f t="shared" si="2"/>
        <v>656</v>
      </c>
      <c r="H38" s="40"/>
      <c r="I38" s="40"/>
      <c r="J38" s="40"/>
      <c r="K38" s="41">
        <f>+'[6]2-ԸՆԴԱՄԵՆԸ ԾԱԽՍԵՐ'!$G$42</f>
        <v>656</v>
      </c>
      <c r="L38" s="41">
        <f>+'[6]2-ԸՆԴԱՄԵՆԸ ԾԱԽՍԵՐ'!$G$42</f>
        <v>656</v>
      </c>
      <c r="M38" s="41">
        <f>+'[6]2-ԸՆԴԱՄԵՆԸ ԾԱԽՍԵՐ'!$G$42</f>
        <v>656</v>
      </c>
      <c r="N38" s="40"/>
      <c r="O38" s="40"/>
      <c r="P38" s="40"/>
      <c r="Q38" s="43">
        <f t="shared" si="3"/>
        <v>656</v>
      </c>
      <c r="R38" s="43">
        <f t="shared" si="3"/>
        <v>656</v>
      </c>
      <c r="S38" s="43">
        <f t="shared" si="3"/>
        <v>656</v>
      </c>
    </row>
    <row r="39" spans="2:19" x14ac:dyDescent="0.25">
      <c r="B39" s="22" t="s">
        <v>115</v>
      </c>
      <c r="C39" s="39">
        <v>0</v>
      </c>
      <c r="D39" s="39">
        <f>+'[6]2-ԸՆԴԱՄԵՆԸ ԾԱԽՍԵՐ'!$F$44</f>
        <v>500</v>
      </c>
      <c r="E39" s="40">
        <f t="shared" si="4"/>
        <v>500</v>
      </c>
      <c r="F39" s="40">
        <f t="shared" si="1"/>
        <v>500</v>
      </c>
      <c r="G39" s="40">
        <f t="shared" si="2"/>
        <v>500</v>
      </c>
      <c r="H39" s="40"/>
      <c r="I39" s="40"/>
      <c r="J39" s="40"/>
      <c r="K39" s="41">
        <f>+'[6]2-ԸՆԴԱՄԵՆԸ ԾԱԽՍԵՐ'!$F$44</f>
        <v>500</v>
      </c>
      <c r="L39" s="41">
        <f>+'[6]2-ԸՆԴԱՄԵՆԸ ԾԱԽՍԵՐ'!$F$44</f>
        <v>500</v>
      </c>
      <c r="M39" s="41">
        <f>+'[6]2-ԸՆԴԱՄԵՆԸ ԾԱԽՍԵՐ'!$F$44</f>
        <v>500</v>
      </c>
      <c r="N39" s="40"/>
      <c r="O39" s="40"/>
      <c r="P39" s="40"/>
      <c r="Q39" s="43">
        <f t="shared" si="3"/>
        <v>500</v>
      </c>
      <c r="R39" s="43">
        <f t="shared" si="3"/>
        <v>500</v>
      </c>
      <c r="S39" s="43">
        <f t="shared" si="3"/>
        <v>500</v>
      </c>
    </row>
    <row r="40" spans="2:19" x14ac:dyDescent="0.25">
      <c r="B40" s="22" t="s">
        <v>131</v>
      </c>
      <c r="C40" s="39">
        <f>+'[6]2-ԸՆԴԱՄԵՆԸ ԾԱԽՍԵՐ'!$E$47</f>
        <v>736.3</v>
      </c>
      <c r="D40" s="39">
        <f>+'[6]2-ԸՆԴԱՄԵՆԸ ԾԱԽՍԵՐ'!$F$47</f>
        <v>300</v>
      </c>
      <c r="E40" s="40">
        <f t="shared" si="4"/>
        <v>-436.29999999999995</v>
      </c>
      <c r="F40" s="40">
        <f t="shared" si="1"/>
        <v>-436.29999999999995</v>
      </c>
      <c r="G40" s="40">
        <f t="shared" si="2"/>
        <v>-436.29999999999995</v>
      </c>
      <c r="H40" s="40"/>
      <c r="I40" s="40"/>
      <c r="J40" s="40"/>
      <c r="K40" s="41">
        <f>+'[6]2-ԸՆԴԱՄԵՆԸ ԾԱԽՍԵՐ'!$F$47</f>
        <v>300</v>
      </c>
      <c r="L40" s="41">
        <f>+'[6]2-ԸՆԴԱՄԵՆԸ ԾԱԽՍԵՐ'!$G$47</f>
        <v>300</v>
      </c>
      <c r="M40" s="41">
        <f>+'[6]2-ԸՆԴԱՄԵՆԸ ԾԱԽՍԵՐ'!$G$47</f>
        <v>300</v>
      </c>
      <c r="N40" s="40"/>
      <c r="O40" s="40"/>
      <c r="P40" s="40"/>
      <c r="Q40" s="43">
        <f t="shared" si="3"/>
        <v>300</v>
      </c>
      <c r="R40" s="43">
        <f t="shared" si="3"/>
        <v>300</v>
      </c>
      <c r="S40" s="43">
        <f t="shared" si="3"/>
        <v>300</v>
      </c>
    </row>
    <row r="41" spans="2:19" ht="32.25" customHeight="1" x14ac:dyDescent="0.25">
      <c r="B41" s="22" t="s">
        <v>118</v>
      </c>
      <c r="C41" s="39">
        <f>+'[6]2-ԸՆԴԱՄԵՆԸ ԾԱԽՍԵՐ'!$E$51</f>
        <v>99.2</v>
      </c>
      <c r="D41" s="39">
        <f>+'[6]2-ԸՆԴԱՄԵՆԸ ԾԱԽՍԵՐ'!$F$51</f>
        <v>600</v>
      </c>
      <c r="E41" s="40">
        <f>+K41-C41</f>
        <v>500.8</v>
      </c>
      <c r="F41" s="40">
        <f t="shared" si="1"/>
        <v>500.8</v>
      </c>
      <c r="G41" s="40">
        <f t="shared" si="2"/>
        <v>500.8</v>
      </c>
      <c r="H41" s="40"/>
      <c r="I41" s="40"/>
      <c r="J41" s="40"/>
      <c r="K41" s="41">
        <f>+'[6]2-ԸՆԴԱՄԵՆԸ ԾԱԽՍԵՐ'!$G$51</f>
        <v>600</v>
      </c>
      <c r="L41" s="41">
        <f>+'[6]2-ԸՆԴԱՄԵՆԸ ԾԱԽՍԵՐ'!$G$51</f>
        <v>600</v>
      </c>
      <c r="M41" s="41">
        <f>+'[6]2-ԸՆԴԱՄԵՆԸ ԾԱԽՍԵՐ'!$G$51</f>
        <v>600</v>
      </c>
      <c r="N41" s="40"/>
      <c r="O41" s="40"/>
      <c r="P41" s="40"/>
      <c r="Q41" s="43">
        <f t="shared" si="3"/>
        <v>600</v>
      </c>
      <c r="R41" s="43">
        <f t="shared" si="3"/>
        <v>600</v>
      </c>
      <c r="S41" s="43">
        <f t="shared" si="3"/>
        <v>600</v>
      </c>
    </row>
    <row r="42" spans="2:19" x14ac:dyDescent="0.25">
      <c r="B42" s="22" t="s">
        <v>143</v>
      </c>
      <c r="C42" s="39">
        <f>+'[6]2-ԸՆԴԱՄԵՆԸ ԾԱԽՍԵՐ'!$E$55</f>
        <v>191.42599999999999</v>
      </c>
      <c r="D42" s="39">
        <f>+'[6]2-ԸՆԴԱՄԵՆԸ ԾԱԽՍԵՐ'!$F$55</f>
        <v>613.79999999999995</v>
      </c>
      <c r="E42" s="40">
        <f t="shared" ref="E42:E45" si="5">+K42-C42</f>
        <v>422.37399999999997</v>
      </c>
      <c r="F42" s="40">
        <f t="shared" si="1"/>
        <v>422.37399999999997</v>
      </c>
      <c r="G42" s="40">
        <f t="shared" si="2"/>
        <v>422.37399999999997</v>
      </c>
      <c r="H42" s="40"/>
      <c r="I42" s="40"/>
      <c r="J42" s="40"/>
      <c r="K42" s="41">
        <f>+'[6]2-ԸՆԴԱՄԵՆԸ ԾԱԽՍԵՐ'!$G$55</f>
        <v>613.79999999999995</v>
      </c>
      <c r="L42" s="41">
        <f>+'[6]2-ԸՆԴԱՄԵՆԸ ԾԱԽՍԵՐ'!$G$55</f>
        <v>613.79999999999995</v>
      </c>
      <c r="M42" s="41">
        <f>+'[6]2-ԸՆԴԱՄԵՆԸ ԾԱԽՍԵՐ'!$G$55</f>
        <v>613.79999999999995</v>
      </c>
      <c r="N42" s="40"/>
      <c r="O42" s="40"/>
      <c r="P42" s="40"/>
      <c r="Q42" s="43">
        <f t="shared" si="3"/>
        <v>613.79999999999995</v>
      </c>
      <c r="R42" s="43">
        <f t="shared" si="3"/>
        <v>613.79999999999995</v>
      </c>
      <c r="S42" s="43">
        <f t="shared" si="3"/>
        <v>613.79999999999995</v>
      </c>
    </row>
    <row r="43" spans="2:19" x14ac:dyDescent="0.25">
      <c r="B43" s="22" t="s">
        <v>120</v>
      </c>
      <c r="C43" s="39">
        <f>+'[6]2-ԸՆԴԱՄԵՆԸ ԾԱԽՍԵՐ'!$E$60</f>
        <v>608.79999999999995</v>
      </c>
      <c r="D43" s="39">
        <f>+'[6]2-ԸՆԴԱՄԵՆԸ ԾԱԽՍԵՐ'!$F$60</f>
        <v>789</v>
      </c>
      <c r="E43" s="40">
        <f t="shared" si="5"/>
        <v>191.5</v>
      </c>
      <c r="F43" s="40">
        <f t="shared" si="1"/>
        <v>191.5</v>
      </c>
      <c r="G43" s="40">
        <f t="shared" si="2"/>
        <v>191.5</v>
      </c>
      <c r="H43" s="40"/>
      <c r="I43" s="40"/>
      <c r="J43" s="40"/>
      <c r="K43" s="41">
        <f>+'[6]2-ԸՆԴԱՄԵՆԸ ԾԱԽՍԵՐ'!$G$60</f>
        <v>800.3</v>
      </c>
      <c r="L43" s="41">
        <f>+'[6]2-ԸՆԴԱՄԵՆԸ ԾԱԽՍԵՐ'!$G$60</f>
        <v>800.3</v>
      </c>
      <c r="M43" s="41">
        <f>+'[6]2-ԸՆԴԱՄԵՆԸ ԾԱԽՍԵՐ'!$G$60</f>
        <v>800.3</v>
      </c>
      <c r="N43" s="40"/>
      <c r="O43" s="40"/>
      <c r="P43" s="40"/>
      <c r="Q43" s="43">
        <f t="shared" si="3"/>
        <v>800.3</v>
      </c>
      <c r="R43" s="43">
        <f t="shared" si="3"/>
        <v>800.3</v>
      </c>
      <c r="S43" s="43">
        <f t="shared" si="3"/>
        <v>800.3</v>
      </c>
    </row>
    <row r="44" spans="2:19" ht="27" x14ac:dyDescent="0.25">
      <c r="B44" s="22" t="s">
        <v>124</v>
      </c>
      <c r="C44" s="39">
        <f>+'[6]2-ԸՆԴԱՄԵՆԸ ԾԱԽՍԵՐ'!$E$62</f>
        <v>103.7</v>
      </c>
      <c r="D44" s="39">
        <v>0</v>
      </c>
      <c r="E44" s="40">
        <f t="shared" si="5"/>
        <v>-103.7</v>
      </c>
      <c r="F44" s="40">
        <f t="shared" si="1"/>
        <v>0</v>
      </c>
      <c r="G44" s="40">
        <f t="shared" si="2"/>
        <v>0</v>
      </c>
      <c r="H44" s="40"/>
      <c r="I44" s="40"/>
      <c r="J44" s="40"/>
      <c r="K44" s="41"/>
      <c r="L44" s="41">
        <f>+'[6]2-ԸՆԴԱՄԵՆԸ ԾԱԽՍԵՐ'!$G$62</f>
        <v>103.7</v>
      </c>
      <c r="M44" s="41">
        <f>+'[6]2-ԸՆԴԱՄԵՆԸ ԾԱԽՍԵՐ'!$G$62</f>
        <v>103.7</v>
      </c>
      <c r="N44" s="40"/>
      <c r="O44" s="40"/>
      <c r="P44" s="40"/>
      <c r="Q44" s="43">
        <f t="shared" si="3"/>
        <v>0</v>
      </c>
      <c r="R44" s="43">
        <f t="shared" si="3"/>
        <v>103.7</v>
      </c>
      <c r="S44" s="43">
        <f t="shared" si="3"/>
        <v>103.7</v>
      </c>
    </row>
    <row r="45" spans="2:19" x14ac:dyDescent="0.25">
      <c r="B45" s="22" t="s">
        <v>126</v>
      </c>
      <c r="C45" s="39">
        <f>+'[6]2-ԸՆԴԱՄԵՆԸ ԾԱԽՍԵՐ'!$E$73</f>
        <v>0</v>
      </c>
      <c r="D45" s="39">
        <f>+'[6]2-ԸՆԴԱՄԵՆԸ ԾԱԽՍԵՐ'!$F$73</f>
        <v>11</v>
      </c>
      <c r="E45" s="40">
        <f t="shared" si="5"/>
        <v>23</v>
      </c>
      <c r="F45" s="40">
        <f t="shared" si="1"/>
        <v>23</v>
      </c>
      <c r="G45" s="40">
        <f t="shared" si="2"/>
        <v>23</v>
      </c>
      <c r="H45" s="40"/>
      <c r="I45" s="40"/>
      <c r="J45" s="40"/>
      <c r="K45" s="41">
        <f>+'[6]2-ԸՆԴԱՄԵՆԸ ԾԱԽՍԵՐ'!$G$73</f>
        <v>23</v>
      </c>
      <c r="L45" s="41">
        <f>+'[6]2-ԸՆԴԱՄԵՆԸ ԾԱԽՍԵՐ'!$G$73</f>
        <v>23</v>
      </c>
      <c r="M45" s="41">
        <f>+'[6]2-ԸՆԴԱՄԵՆԸ ԾԱԽՍԵՐ'!$G$73</f>
        <v>23</v>
      </c>
      <c r="N45" s="40"/>
      <c r="O45" s="40"/>
      <c r="P45" s="40"/>
      <c r="Q45" s="43">
        <f t="shared" si="3"/>
        <v>23</v>
      </c>
      <c r="R45" s="43">
        <f t="shared" si="3"/>
        <v>23</v>
      </c>
      <c r="S45" s="43">
        <f t="shared" si="3"/>
        <v>23</v>
      </c>
    </row>
    <row r="46" spans="2:19" x14ac:dyDescent="0.25">
      <c r="B46" s="22"/>
      <c r="C46" s="39"/>
      <c r="D46" s="39"/>
      <c r="E46" s="40"/>
      <c r="F46" s="40"/>
      <c r="G46" s="40"/>
      <c r="H46" s="40"/>
      <c r="I46" s="40"/>
      <c r="J46" s="40"/>
      <c r="K46" s="41"/>
      <c r="L46" s="41">
        <f t="shared" ref="L46" si="6">C46+F46+I46</f>
        <v>0</v>
      </c>
      <c r="M46" s="41">
        <f t="shared" ref="M46" si="7">C46+G46+J46</f>
        <v>0</v>
      </c>
      <c r="N46" s="40"/>
      <c r="O46" s="40"/>
      <c r="P46" s="40"/>
      <c r="Q46" s="43">
        <f t="shared" si="3"/>
        <v>0</v>
      </c>
      <c r="R46" s="43">
        <f t="shared" si="3"/>
        <v>0</v>
      </c>
      <c r="S46" s="43">
        <f t="shared" si="3"/>
        <v>0</v>
      </c>
    </row>
    <row r="47" spans="2:19" ht="28.5" x14ac:dyDescent="0.25">
      <c r="B47" s="18" t="s">
        <v>73</v>
      </c>
      <c r="C47" s="39"/>
      <c r="D47" s="39"/>
      <c r="E47" s="41">
        <f t="shared" ref="E47:M47" si="8">SUM(E35:E46)</f>
        <v>22385.950000000004</v>
      </c>
      <c r="F47" s="41">
        <f t="shared" si="8"/>
        <v>22278.775000000005</v>
      </c>
      <c r="G47" s="41">
        <f t="shared" si="8"/>
        <v>23431.821999999996</v>
      </c>
      <c r="H47" s="41">
        <f t="shared" si="8"/>
        <v>0</v>
      </c>
      <c r="I47" s="41">
        <f t="shared" si="8"/>
        <v>0</v>
      </c>
      <c r="J47" s="41">
        <f t="shared" si="8"/>
        <v>0</v>
      </c>
      <c r="K47" s="41">
        <f t="shared" si="8"/>
        <v>153749.67599999998</v>
      </c>
      <c r="L47" s="41">
        <f t="shared" si="8"/>
        <v>153642.50099999999</v>
      </c>
      <c r="M47" s="41">
        <f t="shared" si="8"/>
        <v>154795.54799999998</v>
      </c>
      <c r="N47" s="42" t="s">
        <v>2</v>
      </c>
      <c r="O47" s="42" t="s">
        <v>2</v>
      </c>
      <c r="P47" s="42" t="s">
        <v>2</v>
      </c>
      <c r="Q47" s="43" t="s">
        <v>2</v>
      </c>
      <c r="R47" s="43" t="s">
        <v>2</v>
      </c>
      <c r="S47" s="43" t="s">
        <v>2</v>
      </c>
    </row>
    <row r="48" spans="2:19" ht="28.5" x14ac:dyDescent="0.25">
      <c r="B48" s="18" t="s">
        <v>60</v>
      </c>
      <c r="C48" s="39">
        <f>SUM(C35:C47)</f>
        <v>131363.726</v>
      </c>
      <c r="D48" s="39">
        <f>SUM(D35:D47)</f>
        <v>147356.4</v>
      </c>
      <c r="E48" s="41" t="s">
        <v>72</v>
      </c>
      <c r="F48" s="41" t="s">
        <v>72</v>
      </c>
      <c r="G48" s="41" t="s">
        <v>72</v>
      </c>
      <c r="H48" s="41" t="s">
        <v>72</v>
      </c>
      <c r="I48" s="41" t="s">
        <v>72</v>
      </c>
      <c r="J48" s="41" t="s">
        <v>72</v>
      </c>
      <c r="K48" s="41"/>
      <c r="L48" s="41"/>
      <c r="M48" s="41"/>
      <c r="N48" s="42" t="s">
        <v>2</v>
      </c>
      <c r="O48" s="42" t="s">
        <v>2</v>
      </c>
      <c r="P48" s="42" t="s">
        <v>2</v>
      </c>
      <c r="Q48" s="43" t="s">
        <v>2</v>
      </c>
      <c r="R48" s="43" t="s">
        <v>2</v>
      </c>
      <c r="S48" s="43" t="s">
        <v>2</v>
      </c>
    </row>
    <row r="49" spans="1:19" x14ac:dyDescent="0.25">
      <c r="A49" s="199"/>
      <c r="B49" s="246" t="s">
        <v>698</v>
      </c>
      <c r="C49" s="247">
        <f>SUM(C35:C46)</f>
        <v>131363.726</v>
      </c>
      <c r="D49" s="247">
        <f>SUM(D35:D46)</f>
        <v>147356.4</v>
      </c>
      <c r="E49" s="247">
        <f>E47</f>
        <v>22385.950000000004</v>
      </c>
      <c r="F49" s="247">
        <f t="shared" ref="F49:J49" si="9">F47</f>
        <v>22278.775000000005</v>
      </c>
      <c r="G49" s="247">
        <f t="shared" si="9"/>
        <v>23431.821999999996</v>
      </c>
      <c r="H49" s="247">
        <f t="shared" si="9"/>
        <v>0</v>
      </c>
      <c r="I49" s="247">
        <f t="shared" si="9"/>
        <v>0</v>
      </c>
      <c r="J49" s="247">
        <f t="shared" si="9"/>
        <v>0</v>
      </c>
      <c r="K49" s="248">
        <f>K47+K48</f>
        <v>153749.67599999998</v>
      </c>
      <c r="L49" s="248">
        <f t="shared" ref="L49:M49" si="10">L47+L48</f>
        <v>153642.50099999999</v>
      </c>
      <c r="M49" s="248">
        <f t="shared" si="10"/>
        <v>154795.54799999998</v>
      </c>
      <c r="N49" s="248">
        <f>SUM(N35:N46)</f>
        <v>0</v>
      </c>
      <c r="O49" s="248">
        <f t="shared" ref="O49:P49" si="11">SUM(O35:O46)</f>
        <v>0</v>
      </c>
      <c r="P49" s="248">
        <f t="shared" si="11"/>
        <v>0</v>
      </c>
      <c r="Q49" s="249">
        <f>K49+N49</f>
        <v>153749.67599999998</v>
      </c>
      <c r="R49" s="249">
        <f>L49+O49</f>
        <v>153642.50099999999</v>
      </c>
      <c r="S49" s="249">
        <f>M49+P49</f>
        <v>154795.54799999998</v>
      </c>
    </row>
    <row r="50" spans="1:19" x14ac:dyDescent="0.25">
      <c r="D50" s="86"/>
      <c r="K50" s="84"/>
      <c r="L50" s="84">
        <f>+L49-'[6]2-ԸՆԴԱՄԵՆԸ ԾԱԽՍԵՐ'!$K$14</f>
        <v>0</v>
      </c>
      <c r="M50" s="84">
        <f>+M49-'[6]2-ԸՆԴԱՄԵՆԸ ԾԱԽՍԵՐ'!$L$14</f>
        <v>0</v>
      </c>
    </row>
    <row r="51" spans="1:19" x14ac:dyDescent="0.25">
      <c r="C51" s="84"/>
    </row>
    <row r="52" spans="1:19" x14ac:dyDescent="0.25">
      <c r="D52" s="84"/>
      <c r="E52" s="84"/>
    </row>
    <row r="55" spans="1:19" x14ac:dyDescent="0.25">
      <c r="K55" s="36"/>
    </row>
  </sheetData>
  <mergeCells count="13">
    <mergeCell ref="K17:K18"/>
    <mergeCell ref="B17:B18"/>
    <mergeCell ref="C17:C18"/>
    <mergeCell ref="D17:D18"/>
    <mergeCell ref="E17:E18"/>
    <mergeCell ref="F17:J17"/>
    <mergeCell ref="Q33:S33"/>
    <mergeCell ref="B29:E29"/>
    <mergeCell ref="B33:B34"/>
    <mergeCell ref="E33:G33"/>
    <mergeCell ref="H33:J33"/>
    <mergeCell ref="K33:M33"/>
    <mergeCell ref="N33:P33"/>
  </mergeCells>
  <dataValidations count="4">
    <dataValidation type="custom" allowBlank="1" showInputMessage="1" showErrorMessage="1" sqref="N35:P46" xr:uid="{B240BB3E-2454-440B-AFC4-139704C5E1E0}">
      <formula1>"-"</formula1>
    </dataValidation>
    <dataValidation type="list" allowBlank="1" showInputMessage="1" showErrorMessage="1" sqref="D19" xr:uid="{E8221A89-6C0D-4BEB-B6AA-70B12B34F293}">
      <formula1>$V$2:$V$3</formula1>
    </dataValidation>
    <dataValidation showInputMessage="1" showErrorMessage="1" sqref="E19" xr:uid="{4777C41C-71C4-44CC-9BF3-0099D2D86951}"/>
    <dataValidation type="list" allowBlank="1" showInputMessage="1" showErrorMessage="1" sqref="B13" xr:uid="{07A94578-6E9B-41C7-BA5D-1C3484711CE8}">
      <formula1>$U$2:$U$4</formula1>
    </dataValidation>
  </dataValidations>
  <hyperlinks>
    <hyperlink ref="C12" location="_ftn1" display="_ftn1" xr:uid="{740EE646-1292-4EA7-81AF-703934AB183E}"/>
    <hyperlink ref="D12" location="_ftn2" display="_ftn2" xr:uid="{8FE84A0C-C95B-44A0-956D-900D1C88F7FE}"/>
    <hyperlink ref="E12" location="_ftn3" display="_ftn3" xr:uid="{31186555-F752-43FF-BE39-2DBB247D5845}"/>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35521" r:id="rId3" name="Check Box 1">
              <controlPr defaultSize="0" autoFill="0" autoLine="0" autoPict="0">
                <anchor moveWithCells="1">
                  <from>
                    <xdr:col>1</xdr:col>
                    <xdr:colOff>85725</xdr:colOff>
                    <xdr:row>25</xdr:row>
                    <xdr:rowOff>0</xdr:rowOff>
                  </from>
                  <to>
                    <xdr:col>2</xdr:col>
                    <xdr:colOff>1085850</xdr:colOff>
                    <xdr:row>26</xdr:row>
                    <xdr:rowOff>38100</xdr:rowOff>
                  </to>
                </anchor>
              </controlPr>
            </control>
          </mc:Choice>
        </mc:AlternateContent>
        <mc:AlternateContent xmlns:mc="http://schemas.openxmlformats.org/markup-compatibility/2006">
          <mc:Choice Requires="x14">
            <control shapeId="235522" r:id="rId4" name="Check Box 2">
              <controlPr defaultSize="0" autoFill="0" autoLine="0" autoPict="0">
                <anchor moveWithCells="1">
                  <from>
                    <xdr:col>1</xdr:col>
                    <xdr:colOff>85725</xdr:colOff>
                    <xdr:row>22</xdr:row>
                    <xdr:rowOff>171450</xdr:rowOff>
                  </from>
                  <to>
                    <xdr:col>3</xdr:col>
                    <xdr:colOff>285750</xdr:colOff>
                    <xdr:row>24</xdr:row>
                    <xdr:rowOff>47625</xdr:rowOff>
                  </to>
                </anchor>
              </controlPr>
            </control>
          </mc:Choice>
        </mc:AlternateContent>
        <mc:AlternateContent xmlns:mc="http://schemas.openxmlformats.org/markup-compatibility/2006">
          <mc:Choice Requires="x14">
            <control shapeId="235523" r:id="rId5" name="Check Box 3">
              <controlPr defaultSize="0" autoFill="0" autoLine="0" autoPict="0">
                <anchor moveWithCells="1">
                  <from>
                    <xdr:col>1</xdr:col>
                    <xdr:colOff>85725</xdr:colOff>
                    <xdr:row>24</xdr:row>
                    <xdr:rowOff>28575</xdr:rowOff>
                  </from>
                  <to>
                    <xdr:col>3</xdr:col>
                    <xdr:colOff>285750</xdr:colOff>
                    <xdr:row>25</xdr:row>
                    <xdr:rowOff>9525</xdr:rowOff>
                  </to>
                </anchor>
              </controlPr>
            </control>
          </mc:Choice>
        </mc:AlternateContent>
        <mc:AlternateContent xmlns:mc="http://schemas.openxmlformats.org/markup-compatibility/2006">
          <mc:Choice Requires="x14">
            <control shapeId="235524" r:id="rId6" name="Check Box 4">
              <controlPr defaultSize="0" autoFill="0" autoLine="0" autoPict="0">
                <anchor moveWithCells="1">
                  <from>
                    <xdr:col>1</xdr:col>
                    <xdr:colOff>95250</xdr:colOff>
                    <xdr:row>26</xdr:row>
                    <xdr:rowOff>9525</xdr:rowOff>
                  </from>
                  <to>
                    <xdr:col>2</xdr:col>
                    <xdr:colOff>485775</xdr:colOff>
                    <xdr:row>27</xdr:row>
                    <xdr:rowOff>9525</xdr:rowOff>
                  </to>
                </anchor>
              </controlPr>
            </control>
          </mc:Choice>
        </mc:AlternateContent>
      </controls>
    </mc:Choice>
  </mc:AlternateContent>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EEBFE-C5B8-4F88-959F-D072E090B727}">
  <dimension ref="A1:W84"/>
  <sheetViews>
    <sheetView topLeftCell="A55" zoomScale="98" zoomScaleNormal="98" workbookViewId="0">
      <selection activeCell="F68" sqref="F68"/>
    </sheetView>
  </sheetViews>
  <sheetFormatPr defaultRowHeight="15" x14ac:dyDescent="0.25"/>
  <cols>
    <col min="1" max="1" width="6" customWidth="1"/>
    <col min="2" max="2" width="45.7109375" customWidth="1"/>
    <col min="3" max="3" width="18" customWidth="1"/>
    <col min="4" max="4" width="15.42578125" customWidth="1"/>
    <col min="5" max="5" width="12.7109375" customWidth="1"/>
    <col min="6" max="6" width="11.5703125" customWidth="1"/>
    <col min="7" max="7" width="8.85546875" customWidth="1"/>
    <col min="8" max="9" width="10.42578125" customWidth="1"/>
    <col min="10" max="10" width="10" customWidth="1"/>
    <col min="11" max="11" width="70.85546875" customWidth="1"/>
    <col min="12" max="13" width="9.7109375" customWidth="1"/>
    <col min="14" max="14" width="9.5703125" customWidth="1"/>
    <col min="15" max="15" width="8.140625" customWidth="1"/>
    <col min="16" max="16" width="8"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1"/>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54.75" customHeight="1" x14ac:dyDescent="0.25">
      <c r="B5" s="25" t="s">
        <v>79</v>
      </c>
      <c r="C5" s="182">
        <v>1190</v>
      </c>
      <c r="E5" s="25" t="s">
        <v>83</v>
      </c>
      <c r="F5" s="53" t="s">
        <v>357</v>
      </c>
      <c r="H5" s="3"/>
      <c r="I5" s="3"/>
      <c r="J5" s="3"/>
    </row>
    <row r="6" spans="1:23" ht="60.75" customHeight="1" x14ac:dyDescent="0.25">
      <c r="B6" s="25" t="s">
        <v>80</v>
      </c>
      <c r="C6" s="53" t="s">
        <v>466</v>
      </c>
      <c r="E6" s="25" t="s">
        <v>84</v>
      </c>
      <c r="F6" s="20"/>
      <c r="H6" s="3"/>
      <c r="I6" s="3"/>
      <c r="J6" s="3"/>
    </row>
    <row r="7" spans="1:23" ht="18" customHeight="1" x14ac:dyDescent="0.25">
      <c r="B7" s="25" t="s">
        <v>81</v>
      </c>
      <c r="C7" s="182">
        <v>11002</v>
      </c>
      <c r="H7" s="3"/>
      <c r="I7" s="3"/>
      <c r="J7" s="3"/>
    </row>
    <row r="8" spans="1:23" ht="44.25" customHeight="1" x14ac:dyDescent="0.25">
      <c r="B8" s="25" t="s">
        <v>82</v>
      </c>
      <c r="C8" s="29" t="s">
        <v>467</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136.5" x14ac:dyDescent="0.25">
      <c r="B12" s="10" t="s">
        <v>85</v>
      </c>
      <c r="C12" s="28" t="s">
        <v>86</v>
      </c>
      <c r="D12" s="28" t="s">
        <v>87</v>
      </c>
      <c r="E12" s="28" t="s">
        <v>88</v>
      </c>
      <c r="F12" s="3"/>
      <c r="G12" s="3"/>
      <c r="H12" s="3"/>
      <c r="I12" s="3"/>
      <c r="J12" s="3"/>
    </row>
    <row r="13" spans="1:23" ht="17.25" x14ac:dyDescent="0.3">
      <c r="B13" s="21" t="s">
        <v>46</v>
      </c>
      <c r="C13" s="21"/>
      <c r="D13" s="21"/>
      <c r="E13" s="21"/>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15" customHeight="1" x14ac:dyDescent="0.25">
      <c r="B17" s="365" t="s">
        <v>89</v>
      </c>
      <c r="C17" s="365" t="s">
        <v>90</v>
      </c>
      <c r="D17" s="365" t="s">
        <v>91</v>
      </c>
      <c r="E17" s="365" t="s">
        <v>92</v>
      </c>
      <c r="F17" s="364" t="s">
        <v>93</v>
      </c>
      <c r="G17" s="364"/>
      <c r="H17" s="364"/>
      <c r="I17" s="364"/>
      <c r="J17" s="364"/>
      <c r="K17" s="364" t="s">
        <v>94</v>
      </c>
    </row>
    <row r="18" spans="1:11" ht="65.25" customHeight="1" x14ac:dyDescent="0.25">
      <c r="B18" s="365"/>
      <c r="C18" s="365"/>
      <c r="D18" s="365"/>
      <c r="E18" s="365"/>
      <c r="F18" s="27" t="s">
        <v>51</v>
      </c>
      <c r="G18" s="27" t="s">
        <v>52</v>
      </c>
      <c r="H18" s="27" t="s">
        <v>0</v>
      </c>
      <c r="I18" s="27" t="s">
        <v>1</v>
      </c>
      <c r="J18" s="27" t="s">
        <v>3</v>
      </c>
      <c r="K18" s="364"/>
    </row>
    <row r="19" spans="1:11" ht="66.75" customHeight="1" x14ac:dyDescent="0.25">
      <c r="B19" s="183" t="s">
        <v>468</v>
      </c>
      <c r="C19" s="183" t="s">
        <v>117</v>
      </c>
      <c r="D19" s="184" t="s">
        <v>47</v>
      </c>
      <c r="E19" s="184" t="s">
        <v>308</v>
      </c>
      <c r="F19" s="184">
        <v>4</v>
      </c>
      <c r="G19" s="184">
        <v>4</v>
      </c>
      <c r="H19" s="184">
        <v>5</v>
      </c>
      <c r="I19" s="184">
        <v>6</v>
      </c>
      <c r="J19" s="184">
        <v>6</v>
      </c>
      <c r="K19" s="164" t="s">
        <v>469</v>
      </c>
    </row>
    <row r="20" spans="1:11" ht="108" customHeight="1" x14ac:dyDescent="0.25">
      <c r="B20" s="184" t="s">
        <v>773</v>
      </c>
      <c r="C20" s="184" t="s">
        <v>774</v>
      </c>
      <c r="D20" s="184" t="s">
        <v>47</v>
      </c>
      <c r="E20" s="184" t="s">
        <v>308</v>
      </c>
      <c r="F20" s="184">
        <v>0</v>
      </c>
      <c r="G20" s="184">
        <v>8</v>
      </c>
      <c r="H20" s="185" t="s">
        <v>470</v>
      </c>
      <c r="I20" s="185" t="s">
        <v>470</v>
      </c>
      <c r="J20" s="185" t="s">
        <v>470</v>
      </c>
      <c r="K20" s="164" t="s">
        <v>471</v>
      </c>
    </row>
    <row r="21" spans="1:11" ht="73.5" customHeight="1" x14ac:dyDescent="0.25">
      <c r="A21" s="391"/>
      <c r="B21" s="392" t="s">
        <v>775</v>
      </c>
      <c r="C21" s="184" t="s">
        <v>117</v>
      </c>
      <c r="D21" s="184" t="s">
        <v>47</v>
      </c>
      <c r="E21" s="184" t="s">
        <v>308</v>
      </c>
      <c r="F21" s="184">
        <v>7</v>
      </c>
      <c r="G21" s="184">
        <v>9</v>
      </c>
      <c r="H21" s="184">
        <v>10</v>
      </c>
      <c r="I21" s="184">
        <v>10</v>
      </c>
      <c r="J21" s="184">
        <v>10</v>
      </c>
      <c r="K21" s="164" t="s">
        <v>473</v>
      </c>
    </row>
    <row r="22" spans="1:11" ht="90.75" customHeight="1" x14ac:dyDescent="0.25">
      <c r="A22" s="391"/>
      <c r="B22" s="393"/>
      <c r="C22" s="184"/>
      <c r="D22" s="184" t="s">
        <v>44</v>
      </c>
      <c r="E22" s="184" t="s">
        <v>308</v>
      </c>
      <c r="F22" s="184"/>
      <c r="G22" s="184">
        <v>6000</v>
      </c>
      <c r="H22" s="184">
        <v>10000</v>
      </c>
      <c r="I22" s="184">
        <v>10000</v>
      </c>
      <c r="J22" s="184">
        <v>10000</v>
      </c>
      <c r="K22" s="164" t="s">
        <v>474</v>
      </c>
    </row>
    <row r="23" spans="1:11" ht="69.75" customHeight="1" x14ac:dyDescent="0.25">
      <c r="B23" s="186" t="s">
        <v>776</v>
      </c>
      <c r="C23" s="184" t="s">
        <v>117</v>
      </c>
      <c r="D23" s="184" t="s">
        <v>47</v>
      </c>
      <c r="E23" s="184" t="s">
        <v>308</v>
      </c>
      <c r="F23" s="184">
        <v>10000</v>
      </c>
      <c r="G23" s="184">
        <v>20000</v>
      </c>
      <c r="H23" s="184">
        <v>25000</v>
      </c>
      <c r="I23" s="184">
        <v>25000</v>
      </c>
      <c r="J23" s="184">
        <v>25000</v>
      </c>
      <c r="K23" s="164" t="s">
        <v>475</v>
      </c>
    </row>
    <row r="24" spans="1:11" ht="84.75" customHeight="1" x14ac:dyDescent="0.25">
      <c r="B24" s="187" t="s">
        <v>476</v>
      </c>
      <c r="C24" s="184" t="s">
        <v>117</v>
      </c>
      <c r="D24" s="184" t="s">
        <v>47</v>
      </c>
      <c r="E24" s="184" t="s">
        <v>308</v>
      </c>
      <c r="F24" s="184">
        <v>0</v>
      </c>
      <c r="G24" s="184">
        <v>3</v>
      </c>
      <c r="H24" s="184">
        <v>4</v>
      </c>
      <c r="I24" s="184">
        <v>5</v>
      </c>
      <c r="J24" s="184">
        <v>6</v>
      </c>
      <c r="K24" s="164" t="s">
        <v>477</v>
      </c>
    </row>
    <row r="25" spans="1:11" ht="108" customHeight="1" x14ac:dyDescent="0.25">
      <c r="B25" s="188" t="s">
        <v>777</v>
      </c>
      <c r="C25" s="184" t="s">
        <v>117</v>
      </c>
      <c r="D25" s="184" t="s">
        <v>44</v>
      </c>
      <c r="E25" s="184" t="s">
        <v>308</v>
      </c>
      <c r="F25" s="184">
        <v>0</v>
      </c>
      <c r="G25" s="184">
        <v>30000</v>
      </c>
      <c r="H25" s="184">
        <v>40000</v>
      </c>
      <c r="I25" s="184">
        <v>40000</v>
      </c>
      <c r="J25" s="184">
        <v>50000</v>
      </c>
      <c r="K25" s="164" t="s">
        <v>478</v>
      </c>
    </row>
    <row r="26" spans="1:11" ht="69.75" customHeight="1" x14ac:dyDescent="0.25">
      <c r="B26" s="392" t="s">
        <v>778</v>
      </c>
      <c r="C26" s="184" t="s">
        <v>117</v>
      </c>
      <c r="D26" s="184" t="s">
        <v>47</v>
      </c>
      <c r="E26" s="184" t="s">
        <v>308</v>
      </c>
      <c r="F26" s="184">
        <v>0</v>
      </c>
      <c r="G26" s="184">
        <v>7</v>
      </c>
      <c r="H26" s="184">
        <v>12</v>
      </c>
      <c r="I26" s="184">
        <v>12</v>
      </c>
      <c r="J26" s="184">
        <v>14</v>
      </c>
      <c r="K26" s="394" t="s">
        <v>479</v>
      </c>
    </row>
    <row r="27" spans="1:11" ht="69.75" customHeight="1" x14ac:dyDescent="0.25">
      <c r="B27" s="393"/>
      <c r="C27" s="183"/>
      <c r="D27" s="184" t="s">
        <v>44</v>
      </c>
      <c r="E27" s="184" t="s">
        <v>308</v>
      </c>
      <c r="F27" s="184">
        <v>0</v>
      </c>
      <c r="G27" s="184">
        <v>7000</v>
      </c>
      <c r="H27" s="184">
        <v>7200</v>
      </c>
      <c r="I27" s="184">
        <v>7200</v>
      </c>
      <c r="J27" s="184">
        <v>6000</v>
      </c>
      <c r="K27" s="395"/>
    </row>
    <row r="28" spans="1:11" ht="69.75" customHeight="1" x14ac:dyDescent="0.25">
      <c r="B28" s="334" t="s">
        <v>480</v>
      </c>
      <c r="C28" s="183" t="s">
        <v>117</v>
      </c>
      <c r="D28" s="184" t="s">
        <v>47</v>
      </c>
      <c r="E28" s="184" t="s">
        <v>308</v>
      </c>
      <c r="F28" s="184">
        <v>3</v>
      </c>
      <c r="G28" s="184">
        <v>8</v>
      </c>
      <c r="H28" s="184">
        <v>10</v>
      </c>
      <c r="I28" s="184">
        <v>10</v>
      </c>
      <c r="J28" s="184">
        <v>10</v>
      </c>
      <c r="K28" s="164" t="s">
        <v>481</v>
      </c>
    </row>
    <row r="29" spans="1:11" ht="66" customHeight="1" x14ac:dyDescent="0.25">
      <c r="B29" s="186" t="s">
        <v>779</v>
      </c>
      <c r="C29" s="183" t="s">
        <v>117</v>
      </c>
      <c r="D29" s="184" t="s">
        <v>47</v>
      </c>
      <c r="E29" s="184" t="s">
        <v>308</v>
      </c>
      <c r="F29" s="184">
        <v>3</v>
      </c>
      <c r="G29" s="184">
        <v>3</v>
      </c>
      <c r="H29" s="184">
        <v>8</v>
      </c>
      <c r="I29" s="184">
        <v>8</v>
      </c>
      <c r="J29" s="184">
        <v>8</v>
      </c>
      <c r="K29" s="164" t="s">
        <v>482</v>
      </c>
    </row>
    <row r="30" spans="1:11" ht="89.45" customHeight="1" x14ac:dyDescent="0.25">
      <c r="B30" s="187" t="s">
        <v>780</v>
      </c>
      <c r="C30" s="183" t="s">
        <v>117</v>
      </c>
      <c r="D30" s="190" t="s">
        <v>47</v>
      </c>
      <c r="E30" s="184" t="s">
        <v>308</v>
      </c>
      <c r="F30" s="190">
        <v>0</v>
      </c>
      <c r="G30" s="190">
        <v>3</v>
      </c>
      <c r="H30" s="190">
        <v>5</v>
      </c>
      <c r="I30" s="190">
        <v>5</v>
      </c>
      <c r="J30" s="190">
        <v>5</v>
      </c>
      <c r="K30" s="164" t="s">
        <v>483</v>
      </c>
    </row>
    <row r="31" spans="1:11" ht="73.900000000000006" customHeight="1" x14ac:dyDescent="0.25">
      <c r="B31" s="335" t="s">
        <v>781</v>
      </c>
      <c r="C31" s="183" t="s">
        <v>117</v>
      </c>
      <c r="D31" s="190" t="s">
        <v>47</v>
      </c>
      <c r="E31" s="184" t="s">
        <v>308</v>
      </c>
      <c r="F31" s="190">
        <v>3</v>
      </c>
      <c r="G31" s="190">
        <v>6</v>
      </c>
      <c r="H31" s="190">
        <v>10</v>
      </c>
      <c r="I31" s="190">
        <v>10</v>
      </c>
      <c r="J31" s="190">
        <v>10</v>
      </c>
      <c r="K31" s="164" t="s">
        <v>484</v>
      </c>
    </row>
    <row r="32" spans="1:11" ht="83.25" customHeight="1" x14ac:dyDescent="0.25">
      <c r="B32" s="189" t="s">
        <v>485</v>
      </c>
      <c r="C32" s="183" t="s">
        <v>117</v>
      </c>
      <c r="D32" s="190" t="s">
        <v>47</v>
      </c>
      <c r="E32" s="184" t="s">
        <v>308</v>
      </c>
      <c r="F32" s="190">
        <v>2</v>
      </c>
      <c r="G32" s="190">
        <v>2</v>
      </c>
      <c r="H32" s="190">
        <v>3</v>
      </c>
      <c r="I32" s="190">
        <v>3</v>
      </c>
      <c r="J32" s="190">
        <v>3</v>
      </c>
      <c r="K32" s="164" t="s">
        <v>486</v>
      </c>
    </row>
    <row r="33" spans="1:11" ht="75.75" customHeight="1" x14ac:dyDescent="0.25">
      <c r="B33" s="188" t="s">
        <v>487</v>
      </c>
      <c r="C33" s="190" t="s">
        <v>234</v>
      </c>
      <c r="D33" s="190" t="s">
        <v>47</v>
      </c>
      <c r="E33" s="184" t="s">
        <v>308</v>
      </c>
      <c r="F33" s="190">
        <v>12</v>
      </c>
      <c r="G33" s="190">
        <v>12</v>
      </c>
      <c r="H33" s="190">
        <v>12</v>
      </c>
      <c r="I33" s="190">
        <v>12</v>
      </c>
      <c r="J33" s="190">
        <v>12</v>
      </c>
      <c r="K33" s="191" t="s">
        <v>488</v>
      </c>
    </row>
    <row r="34" spans="1:11" ht="66.75" customHeight="1" x14ac:dyDescent="0.25">
      <c r="B34" s="392" t="s">
        <v>489</v>
      </c>
      <c r="C34" s="190"/>
      <c r="D34" s="190" t="s">
        <v>44</v>
      </c>
      <c r="E34" s="184" t="s">
        <v>308</v>
      </c>
      <c r="F34" s="190">
        <v>0</v>
      </c>
      <c r="G34" s="190">
        <v>12500</v>
      </c>
      <c r="H34" s="190">
        <v>25000</v>
      </c>
      <c r="I34" s="190">
        <v>25000</v>
      </c>
      <c r="J34" s="190">
        <v>25000</v>
      </c>
      <c r="K34" s="396" t="s">
        <v>490</v>
      </c>
    </row>
    <row r="35" spans="1:11" ht="76.5" customHeight="1" x14ac:dyDescent="0.25">
      <c r="B35" s="393"/>
      <c r="C35" s="190" t="s">
        <v>117</v>
      </c>
      <c r="D35" s="190" t="s">
        <v>47</v>
      </c>
      <c r="E35" s="184" t="s">
        <v>308</v>
      </c>
      <c r="F35" s="190">
        <v>0</v>
      </c>
      <c r="G35" s="190">
        <v>4</v>
      </c>
      <c r="H35" s="190">
        <v>5</v>
      </c>
      <c r="I35" s="190">
        <v>5</v>
      </c>
      <c r="J35" s="190">
        <v>5</v>
      </c>
      <c r="K35" s="397"/>
    </row>
    <row r="36" spans="1:11" ht="47.25" customHeight="1" x14ac:dyDescent="0.25">
      <c r="B36" s="188" t="s">
        <v>491</v>
      </c>
      <c r="C36" s="190" t="s">
        <v>117</v>
      </c>
      <c r="D36" s="190" t="s">
        <v>47</v>
      </c>
      <c r="E36" s="184" t="s">
        <v>308</v>
      </c>
      <c r="F36" s="190">
        <v>0</v>
      </c>
      <c r="G36" s="190">
        <v>10</v>
      </c>
      <c r="H36" s="190">
        <v>20</v>
      </c>
      <c r="I36" s="190">
        <v>20</v>
      </c>
      <c r="J36" s="190">
        <v>20</v>
      </c>
      <c r="K36" s="164" t="s">
        <v>492</v>
      </c>
    </row>
    <row r="37" spans="1:11" ht="47.25" customHeight="1" x14ac:dyDescent="0.25">
      <c r="B37" s="188" t="s">
        <v>493</v>
      </c>
      <c r="C37" s="190" t="s">
        <v>234</v>
      </c>
      <c r="D37" s="190" t="s">
        <v>44</v>
      </c>
      <c r="E37" s="184" t="s">
        <v>308</v>
      </c>
      <c r="F37" s="190">
        <v>0</v>
      </c>
      <c r="G37" s="190">
        <v>1250</v>
      </c>
      <c r="H37" s="190">
        <v>3340</v>
      </c>
      <c r="I37" s="190">
        <v>3340</v>
      </c>
      <c r="J37" s="190">
        <v>3750</v>
      </c>
      <c r="K37" s="192" t="s">
        <v>494</v>
      </c>
    </row>
    <row r="38" spans="1:11" ht="87.75" customHeight="1" x14ac:dyDescent="0.25">
      <c r="B38" s="188" t="s">
        <v>495</v>
      </c>
      <c r="C38" s="184" t="s">
        <v>234</v>
      </c>
      <c r="D38" s="184" t="s">
        <v>47</v>
      </c>
      <c r="E38" s="184" t="s">
        <v>308</v>
      </c>
      <c r="F38" s="184">
        <v>0</v>
      </c>
      <c r="G38" s="184">
        <v>12</v>
      </c>
      <c r="H38" s="184">
        <v>12</v>
      </c>
      <c r="I38" s="184">
        <v>12</v>
      </c>
      <c r="J38" s="184">
        <v>12</v>
      </c>
      <c r="K38" s="261" t="s">
        <v>496</v>
      </c>
    </row>
    <row r="39" spans="1:11" ht="47.25" customHeight="1" x14ac:dyDescent="0.25">
      <c r="B39" s="188" t="s">
        <v>497</v>
      </c>
      <c r="C39" s="184" t="s">
        <v>234</v>
      </c>
      <c r="D39" s="184" t="s">
        <v>47</v>
      </c>
      <c r="E39" s="184" t="s">
        <v>308</v>
      </c>
      <c r="F39" s="184">
        <v>0</v>
      </c>
      <c r="G39" s="184">
        <v>12</v>
      </c>
      <c r="H39" s="184">
        <v>12</v>
      </c>
      <c r="I39" s="184">
        <v>12</v>
      </c>
      <c r="J39" s="184">
        <v>12</v>
      </c>
      <c r="K39" s="261" t="s">
        <v>498</v>
      </c>
    </row>
    <row r="40" spans="1:11" ht="47.25" customHeight="1" x14ac:dyDescent="0.25">
      <c r="B40" s="188" t="s">
        <v>499</v>
      </c>
      <c r="C40" s="184" t="s">
        <v>234</v>
      </c>
      <c r="D40" s="184" t="s">
        <v>47</v>
      </c>
      <c r="E40" s="184" t="s">
        <v>308</v>
      </c>
      <c r="F40" s="184">
        <v>0</v>
      </c>
      <c r="G40" s="184">
        <v>12</v>
      </c>
      <c r="H40" s="184">
        <v>12</v>
      </c>
      <c r="I40" s="184">
        <v>12</v>
      </c>
      <c r="J40" s="184">
        <v>12</v>
      </c>
      <c r="K40" s="261" t="s">
        <v>500</v>
      </c>
    </row>
    <row r="41" spans="1:11" ht="47.25" customHeight="1" x14ac:dyDescent="0.25">
      <c r="B41" s="188" t="s">
        <v>769</v>
      </c>
      <c r="C41" s="184" t="s">
        <v>117</v>
      </c>
      <c r="D41" s="184" t="s">
        <v>47</v>
      </c>
      <c r="E41" s="184" t="s">
        <v>308</v>
      </c>
      <c r="F41" s="184">
        <v>0</v>
      </c>
      <c r="G41" s="184">
        <v>0</v>
      </c>
      <c r="H41" s="184">
        <v>4</v>
      </c>
      <c r="I41" s="184">
        <v>5</v>
      </c>
      <c r="J41" s="184">
        <v>6</v>
      </c>
      <c r="K41" s="261" t="s">
        <v>770</v>
      </c>
    </row>
    <row r="42" spans="1:11" x14ac:dyDescent="0.25">
      <c r="B42" s="21"/>
      <c r="C42" s="21"/>
      <c r="D42" s="21"/>
      <c r="E42" s="21"/>
      <c r="F42" s="21"/>
      <c r="G42" s="21"/>
      <c r="H42" s="21"/>
      <c r="I42" s="21"/>
      <c r="J42" s="21"/>
      <c r="K42" s="21"/>
    </row>
    <row r="43" spans="1:11" ht="17.25" x14ac:dyDescent="0.25">
      <c r="B43" s="3"/>
      <c r="C43" s="3"/>
      <c r="D43" s="3"/>
      <c r="E43" s="3"/>
      <c r="F43" s="3"/>
      <c r="G43" s="3"/>
      <c r="H43" s="3"/>
      <c r="I43" s="3"/>
      <c r="J43" s="3"/>
    </row>
    <row r="44" spans="1:11" ht="15.75" x14ac:dyDescent="0.25">
      <c r="A44" s="12" t="s">
        <v>53</v>
      </c>
      <c r="C44" s="13"/>
      <c r="D44" s="13"/>
      <c r="E44" s="13"/>
      <c r="F44" s="13"/>
      <c r="G44" s="13"/>
      <c r="H44" s="13"/>
      <c r="I44" s="13"/>
      <c r="J44" s="13"/>
    </row>
    <row r="45" spans="1:11" x14ac:dyDescent="0.25">
      <c r="A45" s="12"/>
      <c r="C45" s="15"/>
      <c r="D45" s="15"/>
      <c r="E45" s="15"/>
      <c r="F45" s="15"/>
      <c r="G45" s="15"/>
      <c r="H45" s="15"/>
      <c r="I45" s="15"/>
      <c r="J45" s="15"/>
    </row>
    <row r="46" spans="1:11" x14ac:dyDescent="0.25">
      <c r="A46" s="16" t="s">
        <v>54</v>
      </c>
      <c r="C46" s="17"/>
      <c r="D46" s="17"/>
      <c r="E46" s="13"/>
      <c r="F46" s="13"/>
      <c r="G46" s="13"/>
      <c r="H46" s="13"/>
      <c r="I46" s="13"/>
      <c r="J46" s="13"/>
    </row>
    <row r="47" spans="1:11" x14ac:dyDescent="0.25">
      <c r="B47" s="17"/>
      <c r="C47" s="17"/>
      <c r="D47" s="17"/>
      <c r="E47" s="13"/>
      <c r="F47" s="13"/>
      <c r="G47" s="13"/>
      <c r="H47" s="13"/>
      <c r="I47" s="13"/>
      <c r="J47" s="13"/>
    </row>
    <row r="48" spans="1:11" x14ac:dyDescent="0.25">
      <c r="B48" s="17"/>
      <c r="C48" s="17"/>
      <c r="D48" s="17"/>
      <c r="E48" s="13"/>
      <c r="F48" s="13"/>
      <c r="G48" s="13"/>
      <c r="H48" s="13"/>
      <c r="I48" s="13"/>
      <c r="J48" s="13"/>
    </row>
    <row r="49" spans="1:20" x14ac:dyDescent="0.25">
      <c r="B49" s="17"/>
      <c r="C49" s="17"/>
      <c r="D49" s="17"/>
      <c r="E49" s="13"/>
      <c r="F49" s="13"/>
      <c r="G49" s="13"/>
      <c r="H49" s="13"/>
      <c r="I49" s="13"/>
      <c r="J49" s="13"/>
    </row>
    <row r="50" spans="1:20" x14ac:dyDescent="0.25">
      <c r="B50" s="17"/>
      <c r="C50" s="17"/>
      <c r="D50" s="17"/>
      <c r="E50" s="13"/>
      <c r="F50" s="13"/>
      <c r="G50" s="13"/>
      <c r="H50" s="13"/>
      <c r="I50" s="13"/>
      <c r="J50" s="13"/>
    </row>
    <row r="51" spans="1:20" x14ac:dyDescent="0.25">
      <c r="A51" s="16" t="s">
        <v>55</v>
      </c>
      <c r="E51" s="13"/>
      <c r="F51" s="13"/>
      <c r="G51" s="13"/>
      <c r="H51" s="13"/>
      <c r="I51" s="13"/>
      <c r="J51" s="13"/>
    </row>
    <row r="52" spans="1:20" ht="62.25" customHeight="1" x14ac:dyDescent="0.25">
      <c r="B52" s="360"/>
      <c r="C52" s="361"/>
      <c r="D52" s="361"/>
      <c r="E52" s="362"/>
      <c r="F52" s="13"/>
      <c r="G52" s="13"/>
      <c r="H52" s="13"/>
      <c r="I52" s="13"/>
      <c r="J52" s="13"/>
    </row>
    <row r="53" spans="1:20" ht="17.25" x14ac:dyDescent="0.25">
      <c r="B53" s="3"/>
      <c r="C53" s="3"/>
      <c r="D53" s="3"/>
      <c r="E53" s="13"/>
      <c r="F53" s="13"/>
      <c r="G53" s="13"/>
      <c r="H53" s="13"/>
      <c r="I53" s="13"/>
      <c r="J53" s="13"/>
    </row>
    <row r="54" spans="1:20" x14ac:dyDescent="0.25">
      <c r="A54" s="7" t="s">
        <v>56</v>
      </c>
    </row>
    <row r="56" spans="1:20" ht="53.25" customHeight="1" x14ac:dyDescent="0.25">
      <c r="B56" s="363" t="s">
        <v>95</v>
      </c>
      <c r="C56" s="4" t="s">
        <v>96</v>
      </c>
      <c r="D56" s="4" t="s">
        <v>97</v>
      </c>
      <c r="E56" s="358" t="s">
        <v>98</v>
      </c>
      <c r="F56" s="358"/>
      <c r="G56" s="358"/>
      <c r="H56" s="358" t="s">
        <v>99</v>
      </c>
      <c r="I56" s="358"/>
      <c r="J56" s="358"/>
      <c r="K56" s="358" t="s">
        <v>100</v>
      </c>
      <c r="L56" s="358"/>
      <c r="M56" s="358"/>
      <c r="N56" s="358" t="s">
        <v>101</v>
      </c>
      <c r="O56" s="358"/>
      <c r="P56" s="358"/>
      <c r="Q56" s="359" t="s">
        <v>102</v>
      </c>
      <c r="R56" s="359"/>
      <c r="S56" s="359"/>
    </row>
    <row r="57" spans="1:20" ht="30" customHeight="1" x14ac:dyDescent="0.25">
      <c r="B57" s="363"/>
      <c r="C57" s="193" t="s">
        <v>35</v>
      </c>
      <c r="D57" s="193" t="s">
        <v>36</v>
      </c>
      <c r="E57" s="19" t="s">
        <v>0</v>
      </c>
      <c r="F57" s="19" t="s">
        <v>1</v>
      </c>
      <c r="G57" s="19" t="s">
        <v>3</v>
      </c>
      <c r="H57" s="19" t="s">
        <v>0</v>
      </c>
      <c r="I57" s="19" t="s">
        <v>1</v>
      </c>
      <c r="J57" s="19" t="s">
        <v>3</v>
      </c>
      <c r="K57" s="19" t="s">
        <v>39</v>
      </c>
      <c r="L57" s="19" t="s">
        <v>38</v>
      </c>
      <c r="M57" s="19" t="s">
        <v>37</v>
      </c>
      <c r="N57" s="19" t="s">
        <v>39</v>
      </c>
      <c r="O57" s="19" t="s">
        <v>38</v>
      </c>
      <c r="P57" s="19" t="s">
        <v>37</v>
      </c>
      <c r="Q57" s="194" t="s">
        <v>0</v>
      </c>
      <c r="R57" s="26" t="s">
        <v>1</v>
      </c>
      <c r="S57" s="26" t="s">
        <v>3</v>
      </c>
    </row>
    <row r="58" spans="1:20" x14ac:dyDescent="0.25">
      <c r="B58" s="189" t="s">
        <v>501</v>
      </c>
      <c r="C58" s="184">
        <v>80000</v>
      </c>
      <c r="D58" s="184">
        <v>180000</v>
      </c>
      <c r="E58" s="184"/>
      <c r="F58" s="184"/>
      <c r="G58" s="184"/>
      <c r="H58" s="184"/>
      <c r="I58" s="184">
        <v>36000</v>
      </c>
      <c r="J58" s="184">
        <v>36000</v>
      </c>
      <c r="K58" s="19">
        <f>D58+E58+H58</f>
        <v>180000</v>
      </c>
      <c r="L58" s="19">
        <f>D58+F58+I58</f>
        <v>216000</v>
      </c>
      <c r="M58" s="19">
        <f>D58+G58+J58</f>
        <v>216000</v>
      </c>
      <c r="N58" s="23"/>
      <c r="O58" s="23"/>
      <c r="P58" s="195"/>
      <c r="Q58" s="194">
        <f>K58+N58</f>
        <v>180000</v>
      </c>
      <c r="R58" s="26">
        <f>L58+O58</f>
        <v>216000</v>
      </c>
      <c r="S58" s="26">
        <f>M58+P58</f>
        <v>216000</v>
      </c>
      <c r="T58" s="196"/>
    </row>
    <row r="59" spans="1:20" ht="26.25" customHeight="1" x14ac:dyDescent="0.25">
      <c r="B59" s="189" t="s">
        <v>773</v>
      </c>
      <c r="C59" s="184">
        <v>0</v>
      </c>
      <c r="D59" s="184">
        <v>40000</v>
      </c>
      <c r="E59" s="184"/>
      <c r="F59" s="184"/>
      <c r="G59" s="184"/>
      <c r="H59" s="184">
        <v>10000</v>
      </c>
      <c r="I59" s="184">
        <v>20000</v>
      </c>
      <c r="J59" s="184">
        <v>20000</v>
      </c>
      <c r="K59" s="19">
        <f t="shared" ref="K59:K77" si="0">D59+E59+H59</f>
        <v>50000</v>
      </c>
      <c r="L59" s="19">
        <f t="shared" ref="L59:L77" si="1">D59+F59+I59</f>
        <v>60000</v>
      </c>
      <c r="M59" s="19">
        <f t="shared" ref="M59:M77" si="2">D59+G59+J59</f>
        <v>60000</v>
      </c>
      <c r="N59" s="23"/>
      <c r="O59" s="23"/>
      <c r="P59" s="195"/>
      <c r="Q59" s="194">
        <f t="shared" ref="Q59:S74" si="3">K59+N59</f>
        <v>50000</v>
      </c>
      <c r="R59" s="26">
        <f t="shared" si="3"/>
        <v>60000</v>
      </c>
      <c r="S59" s="26">
        <f t="shared" si="3"/>
        <v>60000</v>
      </c>
    </row>
    <row r="60" spans="1:20" ht="40.5" x14ac:dyDescent="0.25">
      <c r="B60" s="189" t="s">
        <v>472</v>
      </c>
      <c r="C60" s="184">
        <v>15000</v>
      </c>
      <c r="D60" s="184">
        <v>54000</v>
      </c>
      <c r="E60" s="184">
        <v>40000</v>
      </c>
      <c r="F60" s="184">
        <v>40000</v>
      </c>
      <c r="G60" s="184">
        <v>40000</v>
      </c>
      <c r="H60" s="184">
        <v>6000</v>
      </c>
      <c r="I60" s="184">
        <v>6000</v>
      </c>
      <c r="J60" s="184">
        <v>21000</v>
      </c>
      <c r="K60" s="19">
        <f t="shared" si="0"/>
        <v>100000</v>
      </c>
      <c r="L60" s="19">
        <f t="shared" si="1"/>
        <v>100000</v>
      </c>
      <c r="M60" s="19">
        <f t="shared" si="2"/>
        <v>115000</v>
      </c>
      <c r="N60" s="23"/>
      <c r="O60" s="23"/>
      <c r="P60" s="195"/>
      <c r="Q60" s="194">
        <f t="shared" si="3"/>
        <v>100000</v>
      </c>
      <c r="R60" s="26">
        <f t="shared" si="3"/>
        <v>100000</v>
      </c>
      <c r="S60" s="26">
        <f t="shared" si="3"/>
        <v>115000</v>
      </c>
    </row>
    <row r="61" spans="1:20" ht="27" x14ac:dyDescent="0.25">
      <c r="B61" s="189" t="s">
        <v>776</v>
      </c>
      <c r="C61" s="184">
        <v>16500</v>
      </c>
      <c r="D61" s="184">
        <v>48000</v>
      </c>
      <c r="E61" s="184"/>
      <c r="F61" s="184"/>
      <c r="G61" s="184"/>
      <c r="H61" s="184">
        <v>12000</v>
      </c>
      <c r="I61" s="184">
        <v>12000</v>
      </c>
      <c r="J61" s="184">
        <v>12000</v>
      </c>
      <c r="K61" s="19">
        <f t="shared" si="0"/>
        <v>60000</v>
      </c>
      <c r="L61" s="19">
        <f t="shared" si="1"/>
        <v>60000</v>
      </c>
      <c r="M61" s="19">
        <f t="shared" si="2"/>
        <v>60000</v>
      </c>
      <c r="N61" s="23"/>
      <c r="O61" s="23"/>
      <c r="P61" s="195"/>
      <c r="Q61" s="194">
        <f t="shared" si="3"/>
        <v>60000</v>
      </c>
      <c r="R61" s="26">
        <f t="shared" si="3"/>
        <v>60000</v>
      </c>
      <c r="S61" s="26">
        <f t="shared" si="3"/>
        <v>60000</v>
      </c>
    </row>
    <row r="62" spans="1:20" ht="40.5" x14ac:dyDescent="0.25">
      <c r="B62" s="189" t="s">
        <v>476</v>
      </c>
      <c r="C62" s="184">
        <v>0</v>
      </c>
      <c r="D62" s="184">
        <v>60000</v>
      </c>
      <c r="E62" s="184"/>
      <c r="F62" s="184"/>
      <c r="G62" s="184"/>
      <c r="H62" s="184">
        <v>20000</v>
      </c>
      <c r="I62" s="184">
        <v>40000</v>
      </c>
      <c r="J62" s="184">
        <v>60000</v>
      </c>
      <c r="K62" s="19">
        <f t="shared" si="0"/>
        <v>80000</v>
      </c>
      <c r="L62" s="19">
        <f t="shared" si="1"/>
        <v>100000</v>
      </c>
      <c r="M62" s="19">
        <f t="shared" si="2"/>
        <v>120000</v>
      </c>
      <c r="N62" s="23"/>
      <c r="O62" s="23"/>
      <c r="P62" s="195"/>
      <c r="Q62" s="194">
        <f t="shared" si="3"/>
        <v>80000</v>
      </c>
      <c r="R62" s="26">
        <f t="shared" si="3"/>
        <v>100000</v>
      </c>
      <c r="S62" s="26">
        <f t="shared" si="3"/>
        <v>120000</v>
      </c>
    </row>
    <row r="63" spans="1:20" ht="22.15" customHeight="1" x14ac:dyDescent="0.25">
      <c r="B63" s="189" t="s">
        <v>777</v>
      </c>
      <c r="C63" s="184">
        <v>0</v>
      </c>
      <c r="D63" s="184">
        <v>30000</v>
      </c>
      <c r="E63" s="184">
        <v>10000</v>
      </c>
      <c r="F63" s="184">
        <v>10000</v>
      </c>
      <c r="G63" s="184">
        <v>20000</v>
      </c>
      <c r="H63" s="184"/>
      <c r="I63" s="184"/>
      <c r="J63" s="184"/>
      <c r="K63" s="19">
        <f>D63+E63+H63</f>
        <v>40000</v>
      </c>
      <c r="L63" s="19">
        <f>D63+F63+I63</f>
        <v>40000</v>
      </c>
      <c r="M63" s="19">
        <f>D63+G63+J63</f>
        <v>50000</v>
      </c>
      <c r="N63" s="23"/>
      <c r="O63" s="23"/>
      <c r="P63" s="195"/>
      <c r="Q63" s="194">
        <f t="shared" si="3"/>
        <v>40000</v>
      </c>
      <c r="R63" s="26">
        <f t="shared" si="3"/>
        <v>40000</v>
      </c>
      <c r="S63" s="26">
        <f t="shared" si="3"/>
        <v>50000</v>
      </c>
    </row>
    <row r="64" spans="1:20" ht="21.6" customHeight="1" x14ac:dyDescent="0.25">
      <c r="B64" s="189" t="s">
        <v>778</v>
      </c>
      <c r="C64" s="184">
        <v>0</v>
      </c>
      <c r="D64" s="184">
        <v>49000</v>
      </c>
      <c r="E64" s="184">
        <v>36000</v>
      </c>
      <c r="F64" s="184">
        <v>36000</v>
      </c>
      <c r="G64" s="184">
        <v>42000</v>
      </c>
      <c r="H64" s="184">
        <v>35000</v>
      </c>
      <c r="I64" s="184">
        <v>35000</v>
      </c>
      <c r="J64" s="184">
        <v>49000</v>
      </c>
      <c r="K64" s="19">
        <f t="shared" si="0"/>
        <v>120000</v>
      </c>
      <c r="L64" s="19">
        <f t="shared" si="1"/>
        <v>120000</v>
      </c>
      <c r="M64" s="19">
        <f t="shared" si="2"/>
        <v>140000</v>
      </c>
      <c r="N64" s="23"/>
      <c r="O64" s="23"/>
      <c r="P64" s="195"/>
      <c r="Q64" s="194">
        <f t="shared" si="3"/>
        <v>120000</v>
      </c>
      <c r="R64" s="26">
        <f t="shared" si="3"/>
        <v>120000</v>
      </c>
      <c r="S64" s="26">
        <f t="shared" si="3"/>
        <v>140000</v>
      </c>
    </row>
    <row r="65" spans="2:20" ht="46.15" customHeight="1" x14ac:dyDescent="0.25">
      <c r="B65" s="189" t="s">
        <v>480</v>
      </c>
      <c r="C65" s="184">
        <v>18000</v>
      </c>
      <c r="D65" s="184">
        <v>200000</v>
      </c>
      <c r="E65" s="184"/>
      <c r="F65" s="184"/>
      <c r="G65" s="184"/>
      <c r="H65" s="184">
        <v>50000</v>
      </c>
      <c r="I65" s="184">
        <v>50000</v>
      </c>
      <c r="J65" s="184">
        <v>50000</v>
      </c>
      <c r="K65" s="19">
        <f t="shared" si="0"/>
        <v>250000</v>
      </c>
      <c r="L65" s="19">
        <f t="shared" si="1"/>
        <v>250000</v>
      </c>
      <c r="M65" s="19">
        <f t="shared" si="2"/>
        <v>250000</v>
      </c>
      <c r="N65" s="23"/>
      <c r="O65" s="23"/>
      <c r="P65" s="195"/>
      <c r="Q65" s="194">
        <f t="shared" si="3"/>
        <v>250000</v>
      </c>
      <c r="R65" s="26">
        <f t="shared" si="3"/>
        <v>250000</v>
      </c>
      <c r="S65" s="26">
        <f t="shared" si="3"/>
        <v>250000</v>
      </c>
    </row>
    <row r="66" spans="2:20" ht="57.75" customHeight="1" x14ac:dyDescent="0.25">
      <c r="B66" s="189" t="s">
        <v>779</v>
      </c>
      <c r="C66" s="184">
        <v>5400</v>
      </c>
      <c r="D66" s="184">
        <v>15000</v>
      </c>
      <c r="E66" s="184"/>
      <c r="F66" s="184"/>
      <c r="G66" s="184"/>
      <c r="H66" s="184">
        <v>25000</v>
      </c>
      <c r="I66" s="184">
        <v>25000</v>
      </c>
      <c r="J66" s="184">
        <v>25000</v>
      </c>
      <c r="K66" s="19">
        <f t="shared" si="0"/>
        <v>40000</v>
      </c>
      <c r="L66" s="19">
        <f t="shared" si="1"/>
        <v>40000</v>
      </c>
      <c r="M66" s="19">
        <f t="shared" si="2"/>
        <v>40000</v>
      </c>
      <c r="N66" s="23"/>
      <c r="O66" s="23"/>
      <c r="P66" s="195"/>
      <c r="Q66" s="194">
        <f t="shared" si="3"/>
        <v>40000</v>
      </c>
      <c r="R66" s="26">
        <f t="shared" si="3"/>
        <v>40000</v>
      </c>
      <c r="S66" s="26">
        <f t="shared" si="3"/>
        <v>40000</v>
      </c>
    </row>
    <row r="67" spans="2:20" ht="72.75" customHeight="1" x14ac:dyDescent="0.25">
      <c r="B67" s="189" t="s">
        <v>780</v>
      </c>
      <c r="C67" s="184">
        <v>0</v>
      </c>
      <c r="D67" s="184">
        <v>21000</v>
      </c>
      <c r="E67" s="184"/>
      <c r="F67" s="184"/>
      <c r="G67" s="184"/>
      <c r="H67" s="184">
        <v>14000</v>
      </c>
      <c r="I67" s="184">
        <v>14000</v>
      </c>
      <c r="J67" s="184">
        <v>14000</v>
      </c>
      <c r="K67" s="19">
        <f t="shared" si="0"/>
        <v>35000</v>
      </c>
      <c r="L67" s="19">
        <f t="shared" si="1"/>
        <v>35000</v>
      </c>
      <c r="M67" s="19">
        <f t="shared" si="2"/>
        <v>35000</v>
      </c>
      <c r="N67" s="23"/>
      <c r="O67" s="23"/>
      <c r="P67" s="195"/>
      <c r="Q67" s="194">
        <f t="shared" si="3"/>
        <v>35000</v>
      </c>
      <c r="R67" s="26">
        <f t="shared" si="3"/>
        <v>35000</v>
      </c>
      <c r="S67" s="26">
        <f t="shared" si="3"/>
        <v>35000</v>
      </c>
    </row>
    <row r="68" spans="2:20" ht="49.15" customHeight="1" x14ac:dyDescent="0.25">
      <c r="B68" s="189" t="s">
        <v>781</v>
      </c>
      <c r="C68" s="184">
        <v>7500</v>
      </c>
      <c r="D68" s="184">
        <v>27000</v>
      </c>
      <c r="E68" s="184"/>
      <c r="F68" s="184"/>
      <c r="G68" s="184"/>
      <c r="H68" s="184">
        <v>9000</v>
      </c>
      <c r="I68" s="184">
        <v>18000</v>
      </c>
      <c r="J68" s="184">
        <v>18000</v>
      </c>
      <c r="K68" s="19">
        <f t="shared" si="0"/>
        <v>36000</v>
      </c>
      <c r="L68" s="19">
        <f t="shared" si="1"/>
        <v>45000</v>
      </c>
      <c r="M68" s="19">
        <f t="shared" si="2"/>
        <v>45000</v>
      </c>
      <c r="N68" s="23"/>
      <c r="O68" s="23"/>
      <c r="P68" s="195"/>
      <c r="Q68" s="194">
        <f t="shared" si="3"/>
        <v>36000</v>
      </c>
      <c r="R68" s="26">
        <f t="shared" si="3"/>
        <v>45000</v>
      </c>
      <c r="S68" s="26">
        <f t="shared" si="3"/>
        <v>45000</v>
      </c>
    </row>
    <row r="69" spans="2:20" ht="62.25" customHeight="1" x14ac:dyDescent="0.25">
      <c r="B69" s="189" t="s">
        <v>485</v>
      </c>
      <c r="C69" s="184">
        <v>32840</v>
      </c>
      <c r="D69" s="184">
        <v>120000</v>
      </c>
      <c r="E69" s="184"/>
      <c r="F69" s="184"/>
      <c r="G69" s="184"/>
      <c r="H69" s="184">
        <v>50000</v>
      </c>
      <c r="I69" s="184">
        <v>60000</v>
      </c>
      <c r="J69" s="184">
        <v>60000</v>
      </c>
      <c r="K69" s="19">
        <f t="shared" si="0"/>
        <v>170000</v>
      </c>
      <c r="L69" s="19">
        <f t="shared" si="1"/>
        <v>180000</v>
      </c>
      <c r="M69" s="19">
        <f t="shared" si="2"/>
        <v>180000</v>
      </c>
      <c r="N69" s="23"/>
      <c r="O69" s="23"/>
      <c r="P69" s="195"/>
      <c r="Q69" s="194">
        <f t="shared" si="3"/>
        <v>170000</v>
      </c>
      <c r="R69" s="26">
        <f t="shared" si="3"/>
        <v>180000</v>
      </c>
      <c r="S69" s="26">
        <f t="shared" si="3"/>
        <v>180000</v>
      </c>
    </row>
    <row r="70" spans="2:20" ht="54" x14ac:dyDescent="0.25">
      <c r="B70" s="188" t="s">
        <v>487</v>
      </c>
      <c r="C70" s="184">
        <v>1440</v>
      </c>
      <c r="D70" s="184">
        <v>4000</v>
      </c>
      <c r="E70" s="188"/>
      <c r="F70" s="188"/>
      <c r="G70" s="188"/>
      <c r="H70" s="188"/>
      <c r="I70" s="188">
        <v>4000</v>
      </c>
      <c r="J70" s="188">
        <v>8000</v>
      </c>
      <c r="K70" s="19">
        <f t="shared" si="0"/>
        <v>4000</v>
      </c>
      <c r="L70" s="19">
        <f>D70+F70+I70</f>
        <v>8000</v>
      </c>
      <c r="M70" s="19">
        <f>D70+G70+J70</f>
        <v>12000</v>
      </c>
      <c r="N70" s="23"/>
      <c r="O70" s="23"/>
      <c r="P70" s="197"/>
      <c r="Q70" s="194">
        <f t="shared" si="3"/>
        <v>4000</v>
      </c>
      <c r="R70" s="26">
        <f t="shared" si="3"/>
        <v>8000</v>
      </c>
      <c r="S70" s="26">
        <f t="shared" si="3"/>
        <v>12000</v>
      </c>
    </row>
    <row r="71" spans="2:20" ht="93" customHeight="1" x14ac:dyDescent="0.25">
      <c r="B71" s="188" t="s">
        <v>502</v>
      </c>
      <c r="C71" s="184">
        <v>0</v>
      </c>
      <c r="D71" s="184">
        <v>50000</v>
      </c>
      <c r="E71" s="188">
        <v>187500</v>
      </c>
      <c r="F71" s="188">
        <v>187500</v>
      </c>
      <c r="G71" s="188">
        <v>187500</v>
      </c>
      <c r="H71" s="188">
        <v>12500</v>
      </c>
      <c r="I71" s="188">
        <v>12500</v>
      </c>
      <c r="J71" s="188">
        <v>12500</v>
      </c>
      <c r="K71" s="19">
        <f t="shared" si="0"/>
        <v>250000</v>
      </c>
      <c r="L71" s="19">
        <f t="shared" si="1"/>
        <v>250000</v>
      </c>
      <c r="M71" s="19">
        <f t="shared" si="2"/>
        <v>250000</v>
      </c>
      <c r="N71" s="23"/>
      <c r="O71" s="23"/>
      <c r="P71" s="195"/>
      <c r="Q71" s="194">
        <f t="shared" si="3"/>
        <v>250000</v>
      </c>
      <c r="R71" s="26">
        <f t="shared" si="3"/>
        <v>250000</v>
      </c>
      <c r="S71" s="26">
        <f t="shared" si="3"/>
        <v>250000</v>
      </c>
      <c r="T71" s="198"/>
    </row>
    <row r="72" spans="2:20" ht="31.5" customHeight="1" x14ac:dyDescent="0.25">
      <c r="B72" s="188" t="s">
        <v>491</v>
      </c>
      <c r="C72" s="184">
        <v>0</v>
      </c>
      <c r="D72" s="184">
        <v>50000</v>
      </c>
      <c r="E72" s="188"/>
      <c r="F72" s="188"/>
      <c r="G72" s="188"/>
      <c r="H72" s="188">
        <v>50000</v>
      </c>
      <c r="I72" s="188">
        <v>50000</v>
      </c>
      <c r="J72" s="188">
        <v>50000</v>
      </c>
      <c r="K72" s="19">
        <f t="shared" si="0"/>
        <v>100000</v>
      </c>
      <c r="L72" s="19">
        <f t="shared" si="1"/>
        <v>100000</v>
      </c>
      <c r="M72" s="19">
        <f t="shared" si="2"/>
        <v>100000</v>
      </c>
      <c r="N72" s="23"/>
      <c r="O72" s="23"/>
      <c r="P72" s="195"/>
      <c r="Q72" s="194">
        <f t="shared" si="3"/>
        <v>100000</v>
      </c>
      <c r="R72" s="26">
        <f t="shared" si="3"/>
        <v>100000</v>
      </c>
      <c r="S72" s="26">
        <f t="shared" si="3"/>
        <v>100000</v>
      </c>
    </row>
    <row r="73" spans="2:20" ht="40.5" customHeight="1" x14ac:dyDescent="0.25">
      <c r="B73" s="336" t="s">
        <v>493</v>
      </c>
      <c r="C73" s="184">
        <v>0</v>
      </c>
      <c r="D73" s="184">
        <v>15000</v>
      </c>
      <c r="E73" s="188">
        <v>25000</v>
      </c>
      <c r="F73" s="188">
        <v>25000</v>
      </c>
      <c r="G73" s="188">
        <v>30000</v>
      </c>
      <c r="H73" s="188"/>
      <c r="I73" s="188"/>
      <c r="J73" s="188"/>
      <c r="K73" s="19">
        <f t="shared" si="0"/>
        <v>40000</v>
      </c>
      <c r="L73" s="19">
        <f t="shared" si="1"/>
        <v>40000</v>
      </c>
      <c r="M73" s="19">
        <f t="shared" si="2"/>
        <v>45000</v>
      </c>
      <c r="N73" s="23"/>
      <c r="O73" s="23"/>
      <c r="P73" s="195"/>
      <c r="Q73" s="194">
        <f t="shared" si="3"/>
        <v>40000</v>
      </c>
      <c r="R73" s="26">
        <f t="shared" si="3"/>
        <v>40000</v>
      </c>
      <c r="S73" s="26">
        <f t="shared" si="3"/>
        <v>45000</v>
      </c>
    </row>
    <row r="74" spans="2:20" ht="39.75" customHeight="1" x14ac:dyDescent="0.25">
      <c r="B74" s="188" t="s">
        <v>495</v>
      </c>
      <c r="C74" s="184">
        <v>0</v>
      </c>
      <c r="D74" s="184">
        <v>12000</v>
      </c>
      <c r="E74" s="188"/>
      <c r="F74" s="188"/>
      <c r="G74" s="188"/>
      <c r="H74" s="188"/>
      <c r="I74" s="188"/>
      <c r="J74" s="188"/>
      <c r="K74" s="19">
        <f t="shared" si="0"/>
        <v>12000</v>
      </c>
      <c r="L74" s="19">
        <f t="shared" si="1"/>
        <v>12000</v>
      </c>
      <c r="M74" s="19">
        <f t="shared" si="2"/>
        <v>12000</v>
      </c>
      <c r="N74" s="23"/>
      <c r="O74" s="23"/>
      <c r="P74" s="23"/>
      <c r="Q74" s="194">
        <f t="shared" si="3"/>
        <v>12000</v>
      </c>
      <c r="R74" s="26">
        <f t="shared" si="3"/>
        <v>12000</v>
      </c>
      <c r="S74" s="26">
        <f t="shared" si="3"/>
        <v>12000</v>
      </c>
    </row>
    <row r="75" spans="2:20" ht="39.75" customHeight="1" x14ac:dyDescent="0.25">
      <c r="B75" s="188" t="s">
        <v>497</v>
      </c>
      <c r="C75" s="184"/>
      <c r="D75" s="184">
        <v>10000</v>
      </c>
      <c r="E75" s="188"/>
      <c r="F75" s="188"/>
      <c r="G75" s="188"/>
      <c r="H75" s="188"/>
      <c r="I75" s="188">
        <v>10000</v>
      </c>
      <c r="J75" s="188">
        <v>20000</v>
      </c>
      <c r="K75" s="19">
        <f t="shared" si="0"/>
        <v>10000</v>
      </c>
      <c r="L75" s="19">
        <f t="shared" si="1"/>
        <v>20000</v>
      </c>
      <c r="M75" s="19">
        <f t="shared" si="2"/>
        <v>30000</v>
      </c>
      <c r="N75" s="23"/>
      <c r="O75" s="23"/>
      <c r="P75" s="23"/>
      <c r="Q75" s="194">
        <f t="shared" ref="Q75:S78" si="4">K75+N75</f>
        <v>10000</v>
      </c>
      <c r="R75" s="26">
        <f t="shared" si="4"/>
        <v>20000</v>
      </c>
      <c r="S75" s="26">
        <f t="shared" si="4"/>
        <v>30000</v>
      </c>
    </row>
    <row r="76" spans="2:20" ht="39.75" customHeight="1" x14ac:dyDescent="0.25">
      <c r="B76" s="188" t="s">
        <v>499</v>
      </c>
      <c r="C76" s="184"/>
      <c r="D76" s="184">
        <v>15000</v>
      </c>
      <c r="E76" s="188"/>
      <c r="F76" s="188"/>
      <c r="G76" s="188"/>
      <c r="H76" s="188">
        <v>8000</v>
      </c>
      <c r="I76" s="188">
        <v>9000</v>
      </c>
      <c r="J76" s="188">
        <v>25000</v>
      </c>
      <c r="K76" s="19">
        <f t="shared" si="0"/>
        <v>23000</v>
      </c>
      <c r="L76" s="19">
        <f t="shared" si="1"/>
        <v>24000</v>
      </c>
      <c r="M76" s="19">
        <f t="shared" si="2"/>
        <v>40000</v>
      </c>
      <c r="N76" s="23"/>
      <c r="O76" s="23"/>
      <c r="P76" s="23"/>
      <c r="Q76" s="194">
        <f t="shared" si="4"/>
        <v>23000</v>
      </c>
      <c r="R76" s="26">
        <f t="shared" si="4"/>
        <v>24000</v>
      </c>
      <c r="S76" s="26">
        <f t="shared" si="4"/>
        <v>40000</v>
      </c>
    </row>
    <row r="77" spans="2:20" ht="40.5" customHeight="1" x14ac:dyDescent="0.25">
      <c r="B77" s="188" t="s">
        <v>769</v>
      </c>
      <c r="C77" s="184"/>
      <c r="D77" s="184">
        <v>0</v>
      </c>
      <c r="E77" s="188"/>
      <c r="F77" s="188"/>
      <c r="G77" s="188"/>
      <c r="H77" s="188">
        <v>400000</v>
      </c>
      <c r="I77" s="188">
        <v>600000</v>
      </c>
      <c r="J77" s="188">
        <v>700000</v>
      </c>
      <c r="K77" s="19">
        <f t="shared" si="0"/>
        <v>400000</v>
      </c>
      <c r="L77" s="19">
        <f t="shared" si="1"/>
        <v>600000</v>
      </c>
      <c r="M77" s="19">
        <f t="shared" si="2"/>
        <v>700000</v>
      </c>
      <c r="N77" s="23"/>
      <c r="O77" s="23"/>
      <c r="P77" s="23"/>
      <c r="Q77" s="194">
        <f t="shared" si="4"/>
        <v>400000</v>
      </c>
      <c r="R77" s="26">
        <f t="shared" si="4"/>
        <v>600000</v>
      </c>
      <c r="S77" s="26">
        <f t="shared" si="4"/>
        <v>700000</v>
      </c>
    </row>
    <row r="78" spans="2:20" x14ac:dyDescent="0.25">
      <c r="B78" s="22"/>
      <c r="C78" s="32"/>
      <c r="D78" s="32"/>
      <c r="E78" s="23"/>
      <c r="F78" s="23"/>
      <c r="G78" s="23"/>
      <c r="H78" s="23"/>
      <c r="I78" s="23"/>
      <c r="J78" s="23"/>
      <c r="K78" s="19"/>
      <c r="L78" s="19"/>
      <c r="M78" s="19"/>
      <c r="N78" s="23"/>
      <c r="O78" s="23"/>
      <c r="P78" s="23"/>
      <c r="Q78" s="26">
        <f t="shared" si="4"/>
        <v>0</v>
      </c>
      <c r="R78" s="26">
        <f t="shared" si="4"/>
        <v>0</v>
      </c>
      <c r="S78" s="26">
        <f t="shared" si="4"/>
        <v>0</v>
      </c>
    </row>
    <row r="79" spans="2:20" ht="28.5" x14ac:dyDescent="0.25">
      <c r="B79" s="18" t="s">
        <v>73</v>
      </c>
      <c r="C79" s="22"/>
      <c r="D79" s="32">
        <f>SUM(D58:D78)</f>
        <v>1000000</v>
      </c>
      <c r="E79" s="19">
        <f t="shared" ref="E79:J79" si="5">SUM(E58:E78)</f>
        <v>298500</v>
      </c>
      <c r="F79" s="19">
        <f t="shared" si="5"/>
        <v>298500</v>
      </c>
      <c r="G79" s="19">
        <f t="shared" si="5"/>
        <v>319500</v>
      </c>
      <c r="H79" s="19">
        <f t="shared" si="5"/>
        <v>701500</v>
      </c>
      <c r="I79" s="19">
        <f t="shared" si="5"/>
        <v>1001500</v>
      </c>
      <c r="J79" s="19">
        <f t="shared" si="5"/>
        <v>1180500</v>
      </c>
      <c r="K79" s="19">
        <f>D79+E79+H79</f>
        <v>2000000</v>
      </c>
      <c r="L79" s="19">
        <f>D79+F79+I79</f>
        <v>2300000</v>
      </c>
      <c r="M79" s="19">
        <f>D79+G79+J79</f>
        <v>2500000</v>
      </c>
      <c r="N79" s="4" t="s">
        <v>2</v>
      </c>
      <c r="O79" s="4" t="s">
        <v>2</v>
      </c>
      <c r="P79" s="4" t="s">
        <v>2</v>
      </c>
      <c r="Q79" s="26" t="s">
        <v>2</v>
      </c>
      <c r="R79" s="26" t="s">
        <v>2</v>
      </c>
      <c r="S79" s="26" t="s">
        <v>2</v>
      </c>
    </row>
    <row r="80" spans="2:20" ht="28.5" x14ac:dyDescent="0.25">
      <c r="B80" s="18" t="s">
        <v>60</v>
      </c>
      <c r="C80" s="22"/>
      <c r="D80" s="22"/>
      <c r="E80" s="19" t="s">
        <v>72</v>
      </c>
      <c r="F80" s="19" t="s">
        <v>72</v>
      </c>
      <c r="G80" s="19" t="s">
        <v>72</v>
      </c>
      <c r="H80" s="19" t="s">
        <v>72</v>
      </c>
      <c r="I80" s="19" t="s">
        <v>72</v>
      </c>
      <c r="J80" s="19" t="s">
        <v>72</v>
      </c>
      <c r="K80" s="19">
        <f>C80</f>
        <v>0</v>
      </c>
      <c r="L80" s="19">
        <f>C80</f>
        <v>0</v>
      </c>
      <c r="M80" s="19">
        <f>C80</f>
        <v>0</v>
      </c>
      <c r="N80" s="4" t="s">
        <v>2</v>
      </c>
      <c r="O80" s="4" t="s">
        <v>2</v>
      </c>
      <c r="P80" s="4" t="s">
        <v>2</v>
      </c>
      <c r="Q80" s="26" t="s">
        <v>2</v>
      </c>
      <c r="R80" s="26" t="s">
        <v>2</v>
      </c>
      <c r="S80" s="26" t="s">
        <v>2</v>
      </c>
    </row>
    <row r="81" spans="2:20" x14ac:dyDescent="0.25">
      <c r="B81" s="18" t="s">
        <v>61</v>
      </c>
      <c r="C81" s="19">
        <f>SUM(C58:C78)</f>
        <v>176680</v>
      </c>
      <c r="D81" s="19">
        <f>SUM(D58:D78)</f>
        <v>1000000</v>
      </c>
      <c r="E81" s="19">
        <f t="shared" ref="E81:J81" si="6">E79</f>
        <v>298500</v>
      </c>
      <c r="F81" s="19">
        <f t="shared" si="6"/>
        <v>298500</v>
      </c>
      <c r="G81" s="19">
        <f t="shared" si="6"/>
        <v>319500</v>
      </c>
      <c r="H81" s="19">
        <f t="shared" si="6"/>
        <v>701500</v>
      </c>
      <c r="I81" s="19">
        <f t="shared" si="6"/>
        <v>1001500</v>
      </c>
      <c r="J81" s="19">
        <f t="shared" si="6"/>
        <v>1180500</v>
      </c>
      <c r="K81" s="4">
        <f>K79+K80</f>
        <v>2000000</v>
      </c>
      <c r="L81" s="4">
        <f>L79+L80</f>
        <v>2300000</v>
      </c>
      <c r="M81" s="4">
        <f>M79+M80</f>
        <v>2500000</v>
      </c>
      <c r="N81" s="4">
        <f>SUM(N58:N78)</f>
        <v>0</v>
      </c>
      <c r="O81" s="4">
        <f t="shared" ref="O81:P81" si="7">SUM(O58:O78)</f>
        <v>0</v>
      </c>
      <c r="P81" s="4">
        <f t="shared" si="7"/>
        <v>0</v>
      </c>
      <c r="Q81" s="26">
        <f>K81+N81</f>
        <v>2000000</v>
      </c>
      <c r="R81" s="26">
        <f>L81+O81</f>
        <v>2300000</v>
      </c>
      <c r="S81" s="26">
        <f>M81+P81</f>
        <v>2500000</v>
      </c>
    </row>
    <row r="83" spans="2:20" x14ac:dyDescent="0.25">
      <c r="T83" s="199"/>
    </row>
    <row r="84" spans="2:20" x14ac:dyDescent="0.25">
      <c r="B84" s="200" t="s">
        <v>503</v>
      </c>
    </row>
  </sheetData>
  <mergeCells count="19">
    <mergeCell ref="Q56:S56"/>
    <mergeCell ref="B52:E52"/>
    <mergeCell ref="B56:B57"/>
    <mergeCell ref="E56:G56"/>
    <mergeCell ref="H56:J56"/>
    <mergeCell ref="K56:M56"/>
    <mergeCell ref="N56:P56"/>
    <mergeCell ref="A21:A22"/>
    <mergeCell ref="B21:B22"/>
    <mergeCell ref="B26:B27"/>
    <mergeCell ref="K26:K27"/>
    <mergeCell ref="B34:B35"/>
    <mergeCell ref="K34:K35"/>
    <mergeCell ref="K17:K18"/>
    <mergeCell ref="B17:B18"/>
    <mergeCell ref="C17:C18"/>
    <mergeCell ref="D17:D18"/>
    <mergeCell ref="E17:E18"/>
    <mergeCell ref="F17:J17"/>
  </mergeCells>
  <dataValidations count="4">
    <dataValidation type="list" allowBlank="1" showInputMessage="1" showErrorMessage="1" sqref="D19:D42" xr:uid="{4904588A-DBB1-4E8C-AB2D-B653630F7DFF}">
      <formula1>$V$2:$V$3</formula1>
    </dataValidation>
    <dataValidation showInputMessage="1" showErrorMessage="1" sqref="E19:E42" xr:uid="{2DE1B9B0-BD78-419B-86D7-CA3F5B7751CB}"/>
    <dataValidation type="custom" allowBlank="1" showInputMessage="1" showErrorMessage="1" sqref="N58:P78" xr:uid="{E318B16C-B6AC-4BFB-A6FA-DE12F4A98C8F}">
      <formula1>"-"</formula1>
    </dataValidation>
    <dataValidation type="list" allowBlank="1" showInputMessage="1" showErrorMessage="1" sqref="B13" xr:uid="{DEEC37A1-03D3-4A24-BFE9-2152196FCA01}">
      <formula1>$U$2:$U$4</formula1>
    </dataValidation>
  </dataValidations>
  <hyperlinks>
    <hyperlink ref="C12" location="_ftn1" display="_ftn1" xr:uid="{F1FD2AFF-9B67-4D0A-8DE5-02B6ECA81F4B}"/>
    <hyperlink ref="D12" location="_ftn2" display="_ftn2" xr:uid="{7D6CF45D-0538-4272-8EC3-953EA5565389}"/>
    <hyperlink ref="E12" location="_ftn3" display="_ftn3" xr:uid="{C9755570-3487-4434-9109-E7E27F322831}"/>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0721" r:id="rId3" name="Check Box 1">
              <controlPr defaultSize="0" autoFill="0" autoLine="0" autoPict="0">
                <anchor moveWithCells="1">
                  <from>
                    <xdr:col>0</xdr:col>
                    <xdr:colOff>0</xdr:colOff>
                    <xdr:row>331</xdr:row>
                    <xdr:rowOff>0</xdr:rowOff>
                  </from>
                  <to>
                    <xdr:col>1</xdr:col>
                    <xdr:colOff>457200</xdr:colOff>
                    <xdr:row>332</xdr:row>
                    <xdr:rowOff>0</xdr:rowOff>
                  </to>
                </anchor>
              </controlPr>
            </control>
          </mc:Choice>
        </mc:AlternateContent>
        <mc:AlternateContent xmlns:mc="http://schemas.openxmlformats.org/markup-compatibility/2006">
          <mc:Choice Requires="x14">
            <control shapeId="30722" r:id="rId4" name="Check Box 2">
              <controlPr defaultSize="0" autoFill="0" autoLine="0" autoPict="0">
                <anchor moveWithCells="1">
                  <from>
                    <xdr:col>0</xdr:col>
                    <xdr:colOff>0</xdr:colOff>
                    <xdr:row>331</xdr:row>
                    <xdr:rowOff>0</xdr:rowOff>
                  </from>
                  <to>
                    <xdr:col>1</xdr:col>
                    <xdr:colOff>733425</xdr:colOff>
                    <xdr:row>332</xdr:row>
                    <xdr:rowOff>0</xdr:rowOff>
                  </to>
                </anchor>
              </controlPr>
            </control>
          </mc:Choice>
        </mc:AlternateContent>
        <mc:AlternateContent xmlns:mc="http://schemas.openxmlformats.org/markup-compatibility/2006">
          <mc:Choice Requires="x14">
            <control shapeId="30723" r:id="rId5" name="Check Box 3">
              <controlPr defaultSize="0" autoFill="0" autoLine="0" autoPict="0">
                <anchor moveWithCells="1">
                  <from>
                    <xdr:col>0</xdr:col>
                    <xdr:colOff>0</xdr:colOff>
                    <xdr:row>331</xdr:row>
                    <xdr:rowOff>0</xdr:rowOff>
                  </from>
                  <to>
                    <xdr:col>1</xdr:col>
                    <xdr:colOff>733425</xdr:colOff>
                    <xdr:row>332</xdr:row>
                    <xdr:rowOff>0</xdr:rowOff>
                  </to>
                </anchor>
              </controlPr>
            </control>
          </mc:Choice>
        </mc:AlternateContent>
        <mc:AlternateContent xmlns:mc="http://schemas.openxmlformats.org/markup-compatibility/2006">
          <mc:Choice Requires="x14">
            <control shapeId="30724" r:id="rId6" name="Check Box 4">
              <controlPr defaultSize="0" autoFill="0" autoLine="0" autoPict="0">
                <anchor moveWithCells="1">
                  <from>
                    <xdr:col>0</xdr:col>
                    <xdr:colOff>0</xdr:colOff>
                    <xdr:row>331</xdr:row>
                    <xdr:rowOff>0</xdr:rowOff>
                  </from>
                  <to>
                    <xdr:col>1</xdr:col>
                    <xdr:colOff>114300</xdr:colOff>
                    <xdr:row>332</xdr:row>
                    <xdr:rowOff>0</xdr:rowOff>
                  </to>
                </anchor>
              </controlPr>
            </control>
          </mc:Choice>
        </mc:AlternateContent>
        <mc:AlternateContent xmlns:mc="http://schemas.openxmlformats.org/markup-compatibility/2006">
          <mc:Choice Requires="x14">
            <control shapeId="30725" r:id="rId7" name="Check Box 5">
              <controlPr defaultSize="0" autoFill="0" autoLine="0" autoPict="0">
                <anchor moveWithCells="1">
                  <from>
                    <xdr:col>1</xdr:col>
                    <xdr:colOff>85725</xdr:colOff>
                    <xdr:row>48</xdr:row>
                    <xdr:rowOff>0</xdr:rowOff>
                  </from>
                  <to>
                    <xdr:col>2</xdr:col>
                    <xdr:colOff>333375</xdr:colOff>
                    <xdr:row>49</xdr:row>
                    <xdr:rowOff>28575</xdr:rowOff>
                  </to>
                </anchor>
              </controlPr>
            </control>
          </mc:Choice>
        </mc:AlternateContent>
        <mc:AlternateContent xmlns:mc="http://schemas.openxmlformats.org/markup-compatibility/2006">
          <mc:Choice Requires="x14">
            <control shapeId="30726" r:id="rId8" name="Check Box 6">
              <controlPr defaultSize="0" autoFill="0" autoLine="0" autoPict="0">
                <anchor moveWithCells="1">
                  <from>
                    <xdr:col>1</xdr:col>
                    <xdr:colOff>85725</xdr:colOff>
                    <xdr:row>45</xdr:row>
                    <xdr:rowOff>171450</xdr:rowOff>
                  </from>
                  <to>
                    <xdr:col>2</xdr:col>
                    <xdr:colOff>1085850</xdr:colOff>
                    <xdr:row>47</xdr:row>
                    <xdr:rowOff>28575</xdr:rowOff>
                  </to>
                </anchor>
              </controlPr>
            </control>
          </mc:Choice>
        </mc:AlternateContent>
        <mc:AlternateContent xmlns:mc="http://schemas.openxmlformats.org/markup-compatibility/2006">
          <mc:Choice Requires="x14">
            <control shapeId="30727" r:id="rId9" name="Check Box 7">
              <controlPr defaultSize="0" autoFill="0" autoLine="0" autoPict="0">
                <anchor moveWithCells="1">
                  <from>
                    <xdr:col>1</xdr:col>
                    <xdr:colOff>85725</xdr:colOff>
                    <xdr:row>47</xdr:row>
                    <xdr:rowOff>28575</xdr:rowOff>
                  </from>
                  <to>
                    <xdr:col>2</xdr:col>
                    <xdr:colOff>1085850</xdr:colOff>
                    <xdr:row>48</xdr:row>
                    <xdr:rowOff>0</xdr:rowOff>
                  </to>
                </anchor>
              </controlPr>
            </control>
          </mc:Choice>
        </mc:AlternateContent>
        <mc:AlternateContent xmlns:mc="http://schemas.openxmlformats.org/markup-compatibility/2006">
          <mc:Choice Requires="x14">
            <control shapeId="30728" r:id="rId10" name="Check Box 8">
              <controlPr defaultSize="0" autoFill="0" autoLine="0" autoPict="0">
                <anchor moveWithCells="1">
                  <from>
                    <xdr:col>1</xdr:col>
                    <xdr:colOff>95250</xdr:colOff>
                    <xdr:row>49</xdr:row>
                    <xdr:rowOff>9525</xdr:rowOff>
                  </from>
                  <to>
                    <xdr:col>1</xdr:col>
                    <xdr:colOff>2781300</xdr:colOff>
                    <xdr:row>50</xdr:row>
                    <xdr:rowOff>0</xdr:rowOff>
                  </to>
                </anchor>
              </controlPr>
            </control>
          </mc:Choice>
        </mc:AlternateContent>
        <mc:AlternateContent xmlns:mc="http://schemas.openxmlformats.org/markup-compatibility/2006">
          <mc:Choice Requires="x14">
            <control shapeId="30729" r:id="rId11" name="Check Box 9">
              <controlPr defaultSize="0" autoFill="0" autoLine="0" autoPict="0">
                <anchor moveWithCells="1">
                  <from>
                    <xdr:col>1</xdr:col>
                    <xdr:colOff>85725</xdr:colOff>
                    <xdr:row>48</xdr:row>
                    <xdr:rowOff>0</xdr:rowOff>
                  </from>
                  <to>
                    <xdr:col>2</xdr:col>
                    <xdr:colOff>333375</xdr:colOff>
                    <xdr:row>49</xdr:row>
                    <xdr:rowOff>28575</xdr:rowOff>
                  </to>
                </anchor>
              </controlPr>
            </control>
          </mc:Choice>
        </mc:AlternateContent>
        <mc:AlternateContent xmlns:mc="http://schemas.openxmlformats.org/markup-compatibility/2006">
          <mc:Choice Requires="x14">
            <control shapeId="30730" r:id="rId12" name="Check Box 10">
              <controlPr defaultSize="0" autoFill="0" autoLine="0" autoPict="0">
                <anchor moveWithCells="1">
                  <from>
                    <xdr:col>1</xdr:col>
                    <xdr:colOff>85725</xdr:colOff>
                    <xdr:row>45</xdr:row>
                    <xdr:rowOff>171450</xdr:rowOff>
                  </from>
                  <to>
                    <xdr:col>2</xdr:col>
                    <xdr:colOff>1085850</xdr:colOff>
                    <xdr:row>47</xdr:row>
                    <xdr:rowOff>28575</xdr:rowOff>
                  </to>
                </anchor>
              </controlPr>
            </control>
          </mc:Choice>
        </mc:AlternateContent>
        <mc:AlternateContent xmlns:mc="http://schemas.openxmlformats.org/markup-compatibility/2006">
          <mc:Choice Requires="x14">
            <control shapeId="30731" r:id="rId13" name="Check Box 11">
              <controlPr defaultSize="0" autoFill="0" autoLine="0" autoPict="0">
                <anchor moveWithCells="1">
                  <from>
                    <xdr:col>1</xdr:col>
                    <xdr:colOff>85725</xdr:colOff>
                    <xdr:row>47</xdr:row>
                    <xdr:rowOff>28575</xdr:rowOff>
                  </from>
                  <to>
                    <xdr:col>2</xdr:col>
                    <xdr:colOff>1085850</xdr:colOff>
                    <xdr:row>48</xdr:row>
                    <xdr:rowOff>0</xdr:rowOff>
                  </to>
                </anchor>
              </controlPr>
            </control>
          </mc:Choice>
        </mc:AlternateContent>
        <mc:AlternateContent xmlns:mc="http://schemas.openxmlformats.org/markup-compatibility/2006">
          <mc:Choice Requires="x14">
            <control shapeId="30732" r:id="rId14" name="Check Box 12">
              <controlPr defaultSize="0" autoFill="0" autoLine="0" autoPict="0">
                <anchor moveWithCells="1">
                  <from>
                    <xdr:col>1</xdr:col>
                    <xdr:colOff>95250</xdr:colOff>
                    <xdr:row>49</xdr:row>
                    <xdr:rowOff>9525</xdr:rowOff>
                  </from>
                  <to>
                    <xdr:col>1</xdr:col>
                    <xdr:colOff>2781300</xdr:colOff>
                    <xdr:row>50</xdr:row>
                    <xdr:rowOff>0</xdr:rowOff>
                  </to>
                </anchor>
              </controlPr>
            </control>
          </mc:Choice>
        </mc:AlternateContent>
        <mc:AlternateContent xmlns:mc="http://schemas.openxmlformats.org/markup-compatibility/2006">
          <mc:Choice Requires="x14">
            <control shapeId="30733" r:id="rId15" name="Check Box 13">
              <controlPr defaultSize="0" autoFill="0" autoLine="0" autoPict="0">
                <anchor moveWithCells="1">
                  <from>
                    <xdr:col>1</xdr:col>
                    <xdr:colOff>85725</xdr:colOff>
                    <xdr:row>48</xdr:row>
                    <xdr:rowOff>0</xdr:rowOff>
                  </from>
                  <to>
                    <xdr:col>2</xdr:col>
                    <xdr:colOff>333375</xdr:colOff>
                    <xdr:row>49</xdr:row>
                    <xdr:rowOff>28575</xdr:rowOff>
                  </to>
                </anchor>
              </controlPr>
            </control>
          </mc:Choice>
        </mc:AlternateContent>
        <mc:AlternateContent xmlns:mc="http://schemas.openxmlformats.org/markup-compatibility/2006">
          <mc:Choice Requires="x14">
            <control shapeId="30734" r:id="rId16" name="Check Box 14">
              <controlPr defaultSize="0" autoFill="0" autoLine="0" autoPict="0">
                <anchor moveWithCells="1">
                  <from>
                    <xdr:col>1</xdr:col>
                    <xdr:colOff>85725</xdr:colOff>
                    <xdr:row>45</xdr:row>
                    <xdr:rowOff>171450</xdr:rowOff>
                  </from>
                  <to>
                    <xdr:col>2</xdr:col>
                    <xdr:colOff>1085850</xdr:colOff>
                    <xdr:row>47</xdr:row>
                    <xdr:rowOff>28575</xdr:rowOff>
                  </to>
                </anchor>
              </controlPr>
            </control>
          </mc:Choice>
        </mc:AlternateContent>
        <mc:AlternateContent xmlns:mc="http://schemas.openxmlformats.org/markup-compatibility/2006">
          <mc:Choice Requires="x14">
            <control shapeId="30735" r:id="rId17" name="Check Box 15">
              <controlPr defaultSize="0" autoFill="0" autoLine="0" autoPict="0">
                <anchor moveWithCells="1">
                  <from>
                    <xdr:col>1</xdr:col>
                    <xdr:colOff>85725</xdr:colOff>
                    <xdr:row>47</xdr:row>
                    <xdr:rowOff>28575</xdr:rowOff>
                  </from>
                  <to>
                    <xdr:col>2</xdr:col>
                    <xdr:colOff>1085850</xdr:colOff>
                    <xdr:row>48</xdr:row>
                    <xdr:rowOff>0</xdr:rowOff>
                  </to>
                </anchor>
              </controlPr>
            </control>
          </mc:Choice>
        </mc:AlternateContent>
        <mc:AlternateContent xmlns:mc="http://schemas.openxmlformats.org/markup-compatibility/2006">
          <mc:Choice Requires="x14">
            <control shapeId="30736" r:id="rId18" name="Check Box 16">
              <controlPr defaultSize="0" autoFill="0" autoLine="0" autoPict="0">
                <anchor moveWithCells="1">
                  <from>
                    <xdr:col>1</xdr:col>
                    <xdr:colOff>95250</xdr:colOff>
                    <xdr:row>49</xdr:row>
                    <xdr:rowOff>9525</xdr:rowOff>
                  </from>
                  <to>
                    <xdr:col>1</xdr:col>
                    <xdr:colOff>2781300</xdr:colOff>
                    <xdr:row>50</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7B132-E43D-49CC-A792-5535A791FF09}">
  <dimension ref="A1:W39"/>
  <sheetViews>
    <sheetView topLeftCell="E25" zoomScale="91" zoomScaleNormal="91" workbookViewId="0">
      <selection activeCell="M39" sqref="M39"/>
    </sheetView>
  </sheetViews>
  <sheetFormatPr defaultRowHeight="15" x14ac:dyDescent="0.25"/>
  <cols>
    <col min="1" max="1" width="6" customWidth="1"/>
    <col min="2" max="2" width="33.140625" customWidth="1"/>
    <col min="3" max="3" width="32.140625" customWidth="1"/>
    <col min="4" max="4" width="31.5703125" customWidth="1"/>
    <col min="5" max="5" width="40.28515625" customWidth="1"/>
    <col min="6" max="6" width="26.28515625" customWidth="1"/>
    <col min="7" max="7" width="19" customWidth="1"/>
    <col min="8" max="8" width="16.7109375" customWidth="1"/>
    <col min="9" max="9" width="15.7109375" customWidth="1"/>
    <col min="10" max="10" width="16.42578125" customWidth="1"/>
    <col min="11" max="11" width="32.5703125" customWidth="1"/>
    <col min="12" max="12" width="15.140625" customWidth="1"/>
    <col min="13" max="13" width="15.85546875" customWidth="1"/>
    <col min="14" max="14" width="9.5703125" customWidth="1"/>
    <col min="15" max="15" width="8.140625" customWidth="1"/>
    <col min="16" max="16" width="8" customWidth="1"/>
    <col min="17" max="17" width="16.42578125" customWidth="1"/>
    <col min="18" max="18" width="15.7109375" customWidth="1"/>
    <col min="19" max="19" width="18"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1022</v>
      </c>
      <c r="E5" s="25" t="s">
        <v>83</v>
      </c>
      <c r="F5" s="20" t="s">
        <v>622</v>
      </c>
      <c r="H5" s="3"/>
      <c r="I5" s="3"/>
      <c r="J5" s="3"/>
    </row>
    <row r="6" spans="1:23" ht="27.75" customHeight="1" x14ac:dyDescent="0.25">
      <c r="B6" s="25" t="s">
        <v>80</v>
      </c>
      <c r="C6" s="29" t="s">
        <v>103</v>
      </c>
      <c r="E6" s="25" t="s">
        <v>84</v>
      </c>
      <c r="F6" s="20">
        <v>2026</v>
      </c>
      <c r="H6" s="3"/>
      <c r="I6" s="3"/>
      <c r="J6" s="3"/>
    </row>
    <row r="7" spans="1:23" ht="18" customHeight="1" x14ac:dyDescent="0.25">
      <c r="B7" s="25" t="s">
        <v>81</v>
      </c>
      <c r="C7" s="20">
        <v>12005</v>
      </c>
      <c r="H7" s="3"/>
      <c r="I7" s="3"/>
      <c r="J7" s="3"/>
    </row>
    <row r="8" spans="1:23" ht="102" customHeight="1" x14ac:dyDescent="0.25">
      <c r="B8" s="25" t="s">
        <v>82</v>
      </c>
      <c r="C8" s="29" t="s">
        <v>623</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108.75" x14ac:dyDescent="0.3">
      <c r="B13" s="21" t="s">
        <v>43</v>
      </c>
      <c r="C13" s="21"/>
      <c r="D13" s="133" t="s">
        <v>624</v>
      </c>
      <c r="E13" s="133" t="s">
        <v>625</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2" ht="15" customHeight="1" x14ac:dyDescent="0.25">
      <c r="B17" s="365" t="s">
        <v>89</v>
      </c>
      <c r="C17" s="365" t="s">
        <v>90</v>
      </c>
      <c r="D17" s="365" t="s">
        <v>91</v>
      </c>
      <c r="E17" s="365" t="s">
        <v>92</v>
      </c>
      <c r="F17" s="364" t="s">
        <v>93</v>
      </c>
      <c r="G17" s="364"/>
      <c r="H17" s="364"/>
      <c r="I17" s="364"/>
      <c r="J17" s="364"/>
      <c r="K17" s="364" t="s">
        <v>94</v>
      </c>
    </row>
    <row r="18" spans="1:12" ht="29.25" customHeight="1" x14ac:dyDescent="0.25">
      <c r="B18" s="365"/>
      <c r="C18" s="365"/>
      <c r="D18" s="365"/>
      <c r="E18" s="365"/>
      <c r="F18" s="27" t="s">
        <v>51</v>
      </c>
      <c r="G18" s="27" t="s">
        <v>52</v>
      </c>
      <c r="H18" s="27" t="s">
        <v>0</v>
      </c>
      <c r="I18" s="27" t="s">
        <v>1</v>
      </c>
      <c r="J18" s="27" t="s">
        <v>3</v>
      </c>
      <c r="K18" s="364"/>
    </row>
    <row r="19" spans="1:12" s="262" customFormat="1" ht="108" x14ac:dyDescent="0.25">
      <c r="B19" s="31" t="s">
        <v>626</v>
      </c>
      <c r="C19" s="31" t="s">
        <v>515</v>
      </c>
      <c r="D19" s="31" t="s">
        <v>47</v>
      </c>
      <c r="E19" s="32" t="s">
        <v>627</v>
      </c>
      <c r="F19" s="31">
        <v>6444</v>
      </c>
      <c r="G19" s="31">
        <v>10000</v>
      </c>
      <c r="H19" s="31">
        <v>12000</v>
      </c>
      <c r="I19" s="31">
        <v>15000</v>
      </c>
      <c r="J19" s="31">
        <v>18000</v>
      </c>
      <c r="K19" s="32" t="s">
        <v>628</v>
      </c>
    </row>
    <row r="20" spans="1:12" x14ac:dyDescent="0.25">
      <c r="B20" s="21"/>
      <c r="C20" s="21"/>
      <c r="D20" s="21"/>
      <c r="E20" s="21"/>
      <c r="F20" s="21"/>
      <c r="G20" s="21"/>
      <c r="H20" s="21"/>
      <c r="I20" s="21"/>
      <c r="J20" s="21"/>
      <c r="K20" s="21"/>
    </row>
    <row r="21" spans="1:12" ht="17.25" x14ac:dyDescent="0.25">
      <c r="B21" s="3"/>
      <c r="C21" s="3"/>
      <c r="D21" s="3"/>
      <c r="E21" s="3"/>
      <c r="F21" s="3"/>
      <c r="G21" s="3"/>
      <c r="H21" s="3"/>
      <c r="I21" s="3"/>
      <c r="J21" s="3"/>
    </row>
    <row r="22" spans="1:12" ht="15.75" x14ac:dyDescent="0.25">
      <c r="A22" s="12" t="s">
        <v>53</v>
      </c>
      <c r="C22" s="13"/>
      <c r="D22" s="13"/>
      <c r="E22" s="13"/>
      <c r="F22" s="13"/>
      <c r="G22" s="13"/>
      <c r="H22" s="13"/>
      <c r="I22" s="13"/>
      <c r="J22" s="13"/>
    </row>
    <row r="23" spans="1:12" x14ac:dyDescent="0.25">
      <c r="A23" s="14"/>
      <c r="C23" s="15"/>
      <c r="D23" s="15"/>
      <c r="E23" s="15"/>
      <c r="F23" s="15"/>
      <c r="G23" s="15"/>
      <c r="H23" s="15"/>
      <c r="I23" s="15"/>
      <c r="J23" s="15"/>
    </row>
    <row r="24" spans="1:12" x14ac:dyDescent="0.25">
      <c r="A24" s="16" t="s">
        <v>54</v>
      </c>
      <c r="C24" s="17"/>
      <c r="D24" s="17"/>
      <c r="E24" s="13"/>
      <c r="F24" s="13"/>
      <c r="G24" s="13"/>
      <c r="H24" s="13"/>
      <c r="I24" s="13"/>
      <c r="J24" s="13"/>
    </row>
    <row r="25" spans="1:12" x14ac:dyDescent="0.25">
      <c r="B25" s="17"/>
      <c r="C25" s="17"/>
      <c r="D25" s="17"/>
      <c r="E25" s="13"/>
      <c r="F25" s="67"/>
      <c r="G25" s="67"/>
      <c r="H25" s="13"/>
      <c r="I25" s="13"/>
      <c r="J25" s="13"/>
    </row>
    <row r="26" spans="1:12" x14ac:dyDescent="0.25">
      <c r="B26" s="17"/>
      <c r="C26" s="17"/>
      <c r="D26" s="17"/>
      <c r="E26" s="13"/>
      <c r="F26" s="13"/>
      <c r="G26" s="13"/>
      <c r="H26" s="13"/>
      <c r="I26" s="13"/>
      <c r="J26" s="13"/>
    </row>
    <row r="27" spans="1:12" x14ac:dyDescent="0.25">
      <c r="B27" s="17"/>
      <c r="C27" s="17"/>
      <c r="D27" s="17"/>
      <c r="E27" s="13"/>
      <c r="F27" s="13"/>
      <c r="G27" s="13"/>
      <c r="H27" s="13"/>
      <c r="I27" s="13"/>
      <c r="J27" s="13"/>
    </row>
    <row r="28" spans="1:12" x14ac:dyDescent="0.25">
      <c r="B28" s="17"/>
      <c r="C28" s="17"/>
      <c r="D28" s="17"/>
      <c r="E28" s="13"/>
      <c r="F28" s="13"/>
      <c r="G28" s="13"/>
      <c r="H28" s="13"/>
      <c r="I28" s="13"/>
      <c r="J28" s="13"/>
    </row>
    <row r="29" spans="1:12" x14ac:dyDescent="0.25">
      <c r="A29" s="16" t="s">
        <v>55</v>
      </c>
      <c r="E29" s="13"/>
      <c r="F29" s="13"/>
      <c r="G29" s="13"/>
      <c r="H29" s="13"/>
      <c r="I29" s="13"/>
      <c r="J29" s="13"/>
    </row>
    <row r="30" spans="1:12" ht="33.6" customHeight="1" x14ac:dyDescent="0.25">
      <c r="B30" s="360"/>
      <c r="C30" s="361"/>
      <c r="D30" s="361"/>
      <c r="E30" s="362"/>
      <c r="F30" s="67"/>
      <c r="G30" s="67"/>
      <c r="H30" s="67"/>
      <c r="I30" s="13"/>
      <c r="J30" s="13"/>
      <c r="K30" s="84"/>
      <c r="L30" s="84"/>
    </row>
    <row r="31" spans="1:12" ht="17.25" x14ac:dyDescent="0.25">
      <c r="B31" s="3"/>
      <c r="C31" s="3"/>
      <c r="D31" s="3"/>
      <c r="E31" s="13"/>
      <c r="F31" s="13"/>
      <c r="G31" s="13"/>
      <c r="H31" s="13"/>
      <c r="I31" s="13"/>
      <c r="J31" s="13"/>
    </row>
    <row r="32" spans="1:12" x14ac:dyDescent="0.25">
      <c r="A32" s="7" t="s">
        <v>56</v>
      </c>
    </row>
    <row r="34" spans="2:19" ht="43.5" customHeight="1" x14ac:dyDescent="0.25">
      <c r="B34" s="363" t="s">
        <v>95</v>
      </c>
      <c r="C34" s="4" t="s">
        <v>96</v>
      </c>
      <c r="D34" s="4" t="s">
        <v>97</v>
      </c>
      <c r="E34" s="358" t="s">
        <v>98</v>
      </c>
      <c r="F34" s="358"/>
      <c r="G34" s="358"/>
      <c r="H34" s="358" t="s">
        <v>99</v>
      </c>
      <c r="I34" s="358"/>
      <c r="J34" s="358"/>
      <c r="K34" s="358" t="s">
        <v>100</v>
      </c>
      <c r="L34" s="358"/>
      <c r="M34" s="358"/>
      <c r="N34" s="358" t="s">
        <v>101</v>
      </c>
      <c r="O34" s="358"/>
      <c r="P34" s="358"/>
      <c r="Q34" s="359" t="s">
        <v>102</v>
      </c>
      <c r="R34" s="359"/>
      <c r="S34" s="359"/>
    </row>
    <row r="35" spans="2:19" ht="30" customHeight="1" x14ac:dyDescent="0.25">
      <c r="B35" s="363"/>
      <c r="C35" s="4" t="s">
        <v>35</v>
      </c>
      <c r="D35" s="4" t="s">
        <v>36</v>
      </c>
      <c r="E35" s="19" t="s">
        <v>0</v>
      </c>
      <c r="F35" s="19" t="s">
        <v>1</v>
      </c>
      <c r="G35" s="19" t="s">
        <v>3</v>
      </c>
      <c r="H35" s="19" t="s">
        <v>0</v>
      </c>
      <c r="I35" s="19" t="s">
        <v>1</v>
      </c>
      <c r="J35" s="19" t="s">
        <v>3</v>
      </c>
      <c r="K35" s="19" t="s">
        <v>39</v>
      </c>
      <c r="L35" s="19" t="s">
        <v>38</v>
      </c>
      <c r="M35" s="19" t="s">
        <v>37</v>
      </c>
      <c r="N35" s="19" t="s">
        <v>39</v>
      </c>
      <c r="O35" s="19" t="s">
        <v>38</v>
      </c>
      <c r="P35" s="19" t="s">
        <v>37</v>
      </c>
      <c r="Q35" s="26" t="s">
        <v>0</v>
      </c>
      <c r="R35" s="26" t="s">
        <v>1</v>
      </c>
      <c r="S35" s="26" t="s">
        <v>3</v>
      </c>
    </row>
    <row r="36" spans="2:19" ht="45.75" customHeight="1" x14ac:dyDescent="0.25">
      <c r="B36" s="51" t="s">
        <v>338</v>
      </c>
      <c r="C36" s="51">
        <v>513576.97</v>
      </c>
      <c r="D36" s="51">
        <v>739927.1</v>
      </c>
      <c r="E36" s="93"/>
      <c r="F36" s="93"/>
      <c r="G36" s="93"/>
      <c r="H36" s="93">
        <f>434997.8-16.87</f>
        <v>434980.93</v>
      </c>
      <c r="I36" s="93">
        <v>672120.39</v>
      </c>
      <c r="J36" s="93">
        <v>909259.86</v>
      </c>
      <c r="K36" s="52">
        <f>C36+E36+H36</f>
        <v>948557.89999999991</v>
      </c>
      <c r="L36" s="52">
        <f>C36+F36+I36</f>
        <v>1185697.3599999999</v>
      </c>
      <c r="M36" s="52">
        <f>C36+G36+J36</f>
        <v>1422836.83</v>
      </c>
      <c r="N36" s="93"/>
      <c r="O36" s="93"/>
      <c r="P36" s="93"/>
      <c r="Q36" s="70">
        <f>K36+N36</f>
        <v>948557.89999999991</v>
      </c>
      <c r="R36" s="70">
        <f>L36+O36</f>
        <v>1185697.3599999999</v>
      </c>
      <c r="S36" s="70">
        <f>M36+P36</f>
        <v>1422836.83</v>
      </c>
    </row>
    <row r="37" spans="2:19" ht="27" x14ac:dyDescent="0.25">
      <c r="B37" s="270" t="s">
        <v>73</v>
      </c>
      <c r="C37" s="51">
        <f>C36</f>
        <v>513576.97</v>
      </c>
      <c r="D37" s="51">
        <f>D36</f>
        <v>739927.1</v>
      </c>
      <c r="E37" s="52">
        <f t="shared" ref="E37:J37" si="0">SUM(E36:E36)</f>
        <v>0</v>
      </c>
      <c r="F37" s="52">
        <f t="shared" si="0"/>
        <v>0</v>
      </c>
      <c r="G37" s="52">
        <f t="shared" si="0"/>
        <v>0</v>
      </c>
      <c r="H37" s="52">
        <f>SUM(H36:H36)</f>
        <v>434980.93</v>
      </c>
      <c r="I37" s="52">
        <f t="shared" si="0"/>
        <v>672120.39</v>
      </c>
      <c r="J37" s="52">
        <f t="shared" si="0"/>
        <v>909259.86</v>
      </c>
      <c r="K37" s="52">
        <f>C37+E37+H37</f>
        <v>948557.89999999991</v>
      </c>
      <c r="L37" s="52">
        <f>C37+F37+I37</f>
        <v>1185697.3599999999</v>
      </c>
      <c r="M37" s="52">
        <f>C37+G37+J37</f>
        <v>1422836.83</v>
      </c>
      <c r="N37" s="82" t="s">
        <v>2</v>
      </c>
      <c r="O37" s="82" t="s">
        <v>2</v>
      </c>
      <c r="P37" s="82" t="s">
        <v>2</v>
      </c>
      <c r="Q37" s="70" t="s">
        <v>2</v>
      </c>
      <c r="R37" s="70" t="s">
        <v>2</v>
      </c>
      <c r="S37" s="70" t="s">
        <v>2</v>
      </c>
    </row>
    <row r="38" spans="2:19" ht="27" x14ac:dyDescent="0.25">
      <c r="B38" s="270" t="s">
        <v>60</v>
      </c>
      <c r="C38" s="51"/>
      <c r="D38" s="51"/>
      <c r="E38" s="52" t="s">
        <v>72</v>
      </c>
      <c r="F38" s="52" t="s">
        <v>72</v>
      </c>
      <c r="G38" s="52" t="s">
        <v>72</v>
      </c>
      <c r="H38" s="52" t="s">
        <v>72</v>
      </c>
      <c r="I38" s="52" t="s">
        <v>72</v>
      </c>
      <c r="J38" s="52" t="s">
        <v>72</v>
      </c>
      <c r="K38" s="52">
        <f>C38</f>
        <v>0</v>
      </c>
      <c r="L38" s="52">
        <f>C38</f>
        <v>0</v>
      </c>
      <c r="M38" s="52">
        <f>C38</f>
        <v>0</v>
      </c>
      <c r="N38" s="82" t="s">
        <v>2</v>
      </c>
      <c r="O38" s="82" t="s">
        <v>2</v>
      </c>
      <c r="P38" s="82" t="s">
        <v>2</v>
      </c>
      <c r="Q38" s="70" t="s">
        <v>2</v>
      </c>
      <c r="R38" s="70" t="s">
        <v>2</v>
      </c>
      <c r="S38" s="70" t="s">
        <v>2</v>
      </c>
    </row>
    <row r="39" spans="2:19" s="199" customFormat="1" ht="16.5" x14ac:dyDescent="0.25">
      <c r="B39" s="271" t="s">
        <v>700</v>
      </c>
      <c r="C39" s="264">
        <f>SUM(C36:C36)</f>
        <v>513576.97</v>
      </c>
      <c r="D39" s="264">
        <f>SUM(D36:D36)</f>
        <v>739927.1</v>
      </c>
      <c r="E39" s="264">
        <f>E37</f>
        <v>0</v>
      </c>
      <c r="F39" s="264">
        <f t="shared" ref="F39:J39" si="1">F37</f>
        <v>0</v>
      </c>
      <c r="G39" s="264">
        <f t="shared" si="1"/>
        <v>0</v>
      </c>
      <c r="H39" s="264">
        <f t="shared" si="1"/>
        <v>434980.93</v>
      </c>
      <c r="I39" s="264">
        <f t="shared" si="1"/>
        <v>672120.39</v>
      </c>
      <c r="J39" s="264">
        <f t="shared" si="1"/>
        <v>909259.86</v>
      </c>
      <c r="K39" s="265">
        <f>K37+K38</f>
        <v>948557.89999999991</v>
      </c>
      <c r="L39" s="265">
        <f t="shared" ref="L39:M39" si="2">L37+L38</f>
        <v>1185697.3599999999</v>
      </c>
      <c r="M39" s="265">
        <f t="shared" si="2"/>
        <v>1422836.83</v>
      </c>
      <c r="N39" s="265">
        <f>SUM(N36:N36)</f>
        <v>0</v>
      </c>
      <c r="O39" s="265">
        <f>SUM(O36:O36)</f>
        <v>0</v>
      </c>
      <c r="P39" s="265">
        <f>SUM(P36:P36)</f>
        <v>0</v>
      </c>
      <c r="Q39" s="266">
        <f>K39+N39</f>
        <v>948557.89999999991</v>
      </c>
      <c r="R39" s="266">
        <f>L39+O39</f>
        <v>1185697.3599999999</v>
      </c>
      <c r="S39" s="266">
        <f>M39+P39</f>
        <v>1422836.83</v>
      </c>
    </row>
  </sheetData>
  <mergeCells count="13">
    <mergeCell ref="K17:K18"/>
    <mergeCell ref="B17:B18"/>
    <mergeCell ref="C17:C18"/>
    <mergeCell ref="D17:D18"/>
    <mergeCell ref="E17:E18"/>
    <mergeCell ref="F17:J17"/>
    <mergeCell ref="Q34:S34"/>
    <mergeCell ref="B30:E30"/>
    <mergeCell ref="B34:B35"/>
    <mergeCell ref="E34:G34"/>
    <mergeCell ref="H34:J34"/>
    <mergeCell ref="K34:M34"/>
    <mergeCell ref="N34:P34"/>
  </mergeCells>
  <dataValidations count="4">
    <dataValidation showInputMessage="1" showErrorMessage="1" sqref="E19:E20" xr:uid="{E5BC29D9-8501-4319-8CFD-89E5130518EB}"/>
    <dataValidation type="list" allowBlank="1" showInputMessage="1" showErrorMessage="1" sqref="D19:D20" xr:uid="{66911643-CAC1-4014-A6FC-1AFF9197DF45}">
      <formula1>$V$2:$V$3</formula1>
    </dataValidation>
    <dataValidation type="list" allowBlank="1" showInputMessage="1" showErrorMessage="1" sqref="B13" xr:uid="{B2F7BE08-F505-45D0-A759-6923ADBE2515}">
      <formula1>$U$2:$U$4</formula1>
    </dataValidation>
    <dataValidation type="custom" allowBlank="1" showInputMessage="1" showErrorMessage="1" sqref="N36:P36" xr:uid="{93E0E500-056E-434A-8FD0-2C67474A41A9}">
      <formula1>"-"</formula1>
    </dataValidation>
  </dataValidations>
  <hyperlinks>
    <hyperlink ref="C12" location="_ftn1" display="_ftn1" xr:uid="{ABC50FB6-38C8-433F-AEF9-06649C5FABF9}"/>
    <hyperlink ref="D12" location="_ftn2" display="_ftn2" xr:uid="{E396399F-A4F0-4231-A619-8F88B68FC73C}"/>
    <hyperlink ref="E12" location="_ftn3" display="_ftn3" xr:uid="{EC2B3AA3-0076-48F9-BBB5-EC8C3417D7DB}"/>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1681" r:id="rId3" name="Check Box 1">
              <controlPr defaultSize="0" autoFill="0" autoLine="0" autoPict="0">
                <anchor moveWithCells="1">
                  <from>
                    <xdr:col>1</xdr:col>
                    <xdr:colOff>85725</xdr:colOff>
                    <xdr:row>26</xdr:row>
                    <xdr:rowOff>0</xdr:rowOff>
                  </from>
                  <to>
                    <xdr:col>2</xdr:col>
                    <xdr:colOff>1171575</xdr:colOff>
                    <xdr:row>27</xdr:row>
                    <xdr:rowOff>38100</xdr:rowOff>
                  </to>
                </anchor>
              </controlPr>
            </control>
          </mc:Choice>
        </mc:AlternateContent>
        <mc:AlternateContent xmlns:mc="http://schemas.openxmlformats.org/markup-compatibility/2006">
          <mc:Choice Requires="x14">
            <control shapeId="71682" r:id="rId4" name="Check Box 2">
              <controlPr defaultSize="0" autoFill="0" autoLine="0" autoPict="0">
                <anchor moveWithCells="1">
                  <from>
                    <xdr:col>1</xdr:col>
                    <xdr:colOff>85725</xdr:colOff>
                    <xdr:row>23</xdr:row>
                    <xdr:rowOff>171450</xdr:rowOff>
                  </from>
                  <to>
                    <xdr:col>2</xdr:col>
                    <xdr:colOff>1924050</xdr:colOff>
                    <xdr:row>25</xdr:row>
                    <xdr:rowOff>47625</xdr:rowOff>
                  </to>
                </anchor>
              </controlPr>
            </control>
          </mc:Choice>
        </mc:AlternateContent>
        <mc:AlternateContent xmlns:mc="http://schemas.openxmlformats.org/markup-compatibility/2006">
          <mc:Choice Requires="x14">
            <control shapeId="71683" r:id="rId5" name="Check Box 3">
              <controlPr defaultSize="0" autoFill="0" autoLine="0" autoPict="0">
                <anchor moveWithCells="1">
                  <from>
                    <xdr:col>1</xdr:col>
                    <xdr:colOff>85725</xdr:colOff>
                    <xdr:row>25</xdr:row>
                    <xdr:rowOff>28575</xdr:rowOff>
                  </from>
                  <to>
                    <xdr:col>2</xdr:col>
                    <xdr:colOff>1924050</xdr:colOff>
                    <xdr:row>26</xdr:row>
                    <xdr:rowOff>9525</xdr:rowOff>
                  </to>
                </anchor>
              </controlPr>
            </control>
          </mc:Choice>
        </mc:AlternateContent>
        <mc:AlternateContent xmlns:mc="http://schemas.openxmlformats.org/markup-compatibility/2006">
          <mc:Choice Requires="x14">
            <control shapeId="71684" r:id="rId6" name="Check Box 4">
              <controlPr defaultSize="0" autoFill="0" autoLine="0" autoPict="0">
                <anchor moveWithCells="1">
                  <from>
                    <xdr:col>1</xdr:col>
                    <xdr:colOff>95250</xdr:colOff>
                    <xdr:row>27</xdr:row>
                    <xdr:rowOff>9525</xdr:rowOff>
                  </from>
                  <to>
                    <xdr:col>2</xdr:col>
                    <xdr:colOff>571500</xdr:colOff>
                    <xdr:row>28</xdr:row>
                    <xdr:rowOff>9525</xdr:rowOff>
                  </to>
                </anchor>
              </controlPr>
            </control>
          </mc:Choice>
        </mc:AlternateContent>
        <mc:AlternateContent xmlns:mc="http://schemas.openxmlformats.org/markup-compatibility/2006">
          <mc:Choice Requires="x14">
            <control shapeId="71685" r:id="rId7" name="Check Box 5">
              <controlPr defaultSize="0" autoFill="0" autoLine="0" autoPict="0">
                <anchor moveWithCells="1">
                  <from>
                    <xdr:col>1</xdr:col>
                    <xdr:colOff>85725</xdr:colOff>
                    <xdr:row>26</xdr:row>
                    <xdr:rowOff>0</xdr:rowOff>
                  </from>
                  <to>
                    <xdr:col>2</xdr:col>
                    <xdr:colOff>1171575</xdr:colOff>
                    <xdr:row>27</xdr:row>
                    <xdr:rowOff>28575</xdr:rowOff>
                  </to>
                </anchor>
              </controlPr>
            </control>
          </mc:Choice>
        </mc:AlternateContent>
        <mc:AlternateContent xmlns:mc="http://schemas.openxmlformats.org/markup-compatibility/2006">
          <mc:Choice Requires="x14">
            <control shapeId="71686" r:id="rId8" name="Check Box 6">
              <controlPr defaultSize="0" autoFill="0" autoLine="0" autoPict="0">
                <anchor moveWithCells="1">
                  <from>
                    <xdr:col>1</xdr:col>
                    <xdr:colOff>85725</xdr:colOff>
                    <xdr:row>23</xdr:row>
                    <xdr:rowOff>171450</xdr:rowOff>
                  </from>
                  <to>
                    <xdr:col>2</xdr:col>
                    <xdr:colOff>1924050</xdr:colOff>
                    <xdr:row>25</xdr:row>
                    <xdr:rowOff>28575</xdr:rowOff>
                  </to>
                </anchor>
              </controlPr>
            </control>
          </mc:Choice>
        </mc:AlternateContent>
        <mc:AlternateContent xmlns:mc="http://schemas.openxmlformats.org/markup-compatibility/2006">
          <mc:Choice Requires="x14">
            <control shapeId="71687" r:id="rId9" name="Check Box 7">
              <controlPr defaultSize="0" autoFill="0" autoLine="0" autoPict="0">
                <anchor moveWithCells="1">
                  <from>
                    <xdr:col>1</xdr:col>
                    <xdr:colOff>85725</xdr:colOff>
                    <xdr:row>25</xdr:row>
                    <xdr:rowOff>28575</xdr:rowOff>
                  </from>
                  <to>
                    <xdr:col>2</xdr:col>
                    <xdr:colOff>1924050</xdr:colOff>
                    <xdr:row>26</xdr:row>
                    <xdr:rowOff>0</xdr:rowOff>
                  </to>
                </anchor>
              </controlPr>
            </control>
          </mc:Choice>
        </mc:AlternateContent>
        <mc:AlternateContent xmlns:mc="http://schemas.openxmlformats.org/markup-compatibility/2006">
          <mc:Choice Requires="x14">
            <control shapeId="71688" r:id="rId10" name="Check Box 8">
              <controlPr defaultSize="0" autoFill="0" autoLine="0" autoPict="0">
                <anchor moveWithCells="1">
                  <from>
                    <xdr:col>1</xdr:col>
                    <xdr:colOff>95250</xdr:colOff>
                    <xdr:row>27</xdr:row>
                    <xdr:rowOff>9525</xdr:rowOff>
                  </from>
                  <to>
                    <xdr:col>2</xdr:col>
                    <xdr:colOff>571500</xdr:colOff>
                    <xdr:row>28</xdr:row>
                    <xdr:rowOff>0</xdr:rowOff>
                  </to>
                </anchor>
              </controlPr>
            </control>
          </mc:Choice>
        </mc:AlternateContent>
        <mc:AlternateContent xmlns:mc="http://schemas.openxmlformats.org/markup-compatibility/2006">
          <mc:Choice Requires="x14">
            <control shapeId="71689" r:id="rId11" name="Check Box 9">
              <controlPr defaultSize="0" autoFill="0" autoLine="0" autoPict="0">
                <anchor moveWithCells="1">
                  <from>
                    <xdr:col>1</xdr:col>
                    <xdr:colOff>85725</xdr:colOff>
                    <xdr:row>26</xdr:row>
                    <xdr:rowOff>0</xdr:rowOff>
                  </from>
                  <to>
                    <xdr:col>2</xdr:col>
                    <xdr:colOff>1171575</xdr:colOff>
                    <xdr:row>27</xdr:row>
                    <xdr:rowOff>38100</xdr:rowOff>
                  </to>
                </anchor>
              </controlPr>
            </control>
          </mc:Choice>
        </mc:AlternateContent>
        <mc:AlternateContent xmlns:mc="http://schemas.openxmlformats.org/markup-compatibility/2006">
          <mc:Choice Requires="x14">
            <control shapeId="71690" r:id="rId12" name="Check Box 10">
              <controlPr defaultSize="0" autoFill="0" autoLine="0" autoPict="0">
                <anchor moveWithCells="1">
                  <from>
                    <xdr:col>1</xdr:col>
                    <xdr:colOff>85725</xdr:colOff>
                    <xdr:row>23</xdr:row>
                    <xdr:rowOff>171450</xdr:rowOff>
                  </from>
                  <to>
                    <xdr:col>2</xdr:col>
                    <xdr:colOff>1924050</xdr:colOff>
                    <xdr:row>25</xdr:row>
                    <xdr:rowOff>47625</xdr:rowOff>
                  </to>
                </anchor>
              </controlPr>
            </control>
          </mc:Choice>
        </mc:AlternateContent>
        <mc:AlternateContent xmlns:mc="http://schemas.openxmlformats.org/markup-compatibility/2006">
          <mc:Choice Requires="x14">
            <control shapeId="71691" r:id="rId13" name="Check Box 11">
              <controlPr defaultSize="0" autoFill="0" autoLine="0" autoPict="0">
                <anchor moveWithCells="1">
                  <from>
                    <xdr:col>1</xdr:col>
                    <xdr:colOff>85725</xdr:colOff>
                    <xdr:row>25</xdr:row>
                    <xdr:rowOff>28575</xdr:rowOff>
                  </from>
                  <to>
                    <xdr:col>2</xdr:col>
                    <xdr:colOff>1924050</xdr:colOff>
                    <xdr:row>26</xdr:row>
                    <xdr:rowOff>9525</xdr:rowOff>
                  </to>
                </anchor>
              </controlPr>
            </control>
          </mc:Choice>
        </mc:AlternateContent>
        <mc:AlternateContent xmlns:mc="http://schemas.openxmlformats.org/markup-compatibility/2006">
          <mc:Choice Requires="x14">
            <control shapeId="71692" r:id="rId14" name="Check Box 12">
              <controlPr defaultSize="0" autoFill="0" autoLine="0" autoPict="0">
                <anchor moveWithCells="1">
                  <from>
                    <xdr:col>1</xdr:col>
                    <xdr:colOff>95250</xdr:colOff>
                    <xdr:row>27</xdr:row>
                    <xdr:rowOff>9525</xdr:rowOff>
                  </from>
                  <to>
                    <xdr:col>2</xdr:col>
                    <xdr:colOff>571500</xdr:colOff>
                    <xdr:row>28</xdr:row>
                    <xdr:rowOff>9525</xdr:rowOff>
                  </to>
                </anchor>
              </controlPr>
            </control>
          </mc:Choice>
        </mc:AlternateContent>
      </controls>
    </mc:Choice>
  </mc:AlternateContent>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91476-6C57-4000-B04D-BA8E00E6381E}">
  <dimension ref="A1:W45"/>
  <sheetViews>
    <sheetView topLeftCell="A16" workbookViewId="0">
      <selection activeCell="C39" sqref="C39:S39"/>
    </sheetView>
  </sheetViews>
  <sheetFormatPr defaultRowHeight="15" x14ac:dyDescent="0.25"/>
  <cols>
    <col min="1" max="1" width="6" customWidth="1"/>
    <col min="2" max="2" width="34.42578125" customWidth="1"/>
    <col min="3" max="3" width="23.42578125" customWidth="1"/>
    <col min="4" max="4" width="19.140625" customWidth="1"/>
    <col min="5" max="5" width="17.140625" customWidth="1"/>
    <col min="6" max="6" width="15.85546875" customWidth="1"/>
    <col min="7" max="7" width="14.28515625" customWidth="1"/>
    <col min="8" max="8" width="13" customWidth="1"/>
    <col min="9" max="9" width="12.85546875" customWidth="1"/>
    <col min="10" max="10" width="14" customWidth="1"/>
    <col min="11" max="11" width="17.140625" customWidth="1"/>
    <col min="12" max="12" width="11.7109375" customWidth="1"/>
    <col min="13" max="13" width="13.140625" customWidth="1"/>
    <col min="14" max="14" width="9.5703125" customWidth="1"/>
    <col min="15" max="15" width="8.140625" customWidth="1"/>
    <col min="16" max="16" width="8" customWidth="1"/>
    <col min="17" max="19" width="11"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42" customHeight="1" x14ac:dyDescent="0.25">
      <c r="B5" s="25" t="s">
        <v>79</v>
      </c>
      <c r="C5" s="20">
        <v>1190</v>
      </c>
      <c r="E5" s="25" t="s">
        <v>83</v>
      </c>
      <c r="F5" s="20"/>
      <c r="H5" s="3"/>
      <c r="I5" s="3"/>
      <c r="J5" s="3"/>
    </row>
    <row r="6" spans="1:23" ht="53.25" customHeight="1" x14ac:dyDescent="0.25">
      <c r="B6" s="25" t="s">
        <v>80</v>
      </c>
      <c r="C6" s="29" t="s">
        <v>751</v>
      </c>
      <c r="E6" s="25" t="s">
        <v>84</v>
      </c>
      <c r="F6" s="20" t="s">
        <v>132</v>
      </c>
      <c r="H6" s="3"/>
      <c r="I6" s="3"/>
      <c r="J6" s="3"/>
    </row>
    <row r="7" spans="1:23" ht="18" customHeight="1" x14ac:dyDescent="0.25">
      <c r="B7" s="25" t="s">
        <v>81</v>
      </c>
      <c r="C7" s="20">
        <v>11004</v>
      </c>
      <c r="H7" s="3"/>
      <c r="I7" s="3"/>
      <c r="J7" s="3"/>
    </row>
    <row r="8" spans="1:23" ht="66" customHeight="1" x14ac:dyDescent="0.25">
      <c r="B8" s="25" t="s">
        <v>82</v>
      </c>
      <c r="C8" s="29" t="s">
        <v>754</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106.15" customHeight="1" x14ac:dyDescent="0.25">
      <c r="B12" s="10" t="s">
        <v>85</v>
      </c>
      <c r="C12" s="28" t="s">
        <v>86</v>
      </c>
      <c r="D12" s="28" t="s">
        <v>87</v>
      </c>
      <c r="E12" s="28" t="s">
        <v>88</v>
      </c>
      <c r="F12" s="3"/>
      <c r="G12" s="3"/>
      <c r="H12" s="3"/>
      <c r="I12" s="3"/>
      <c r="J12" s="3"/>
    </row>
    <row r="13" spans="1:23" ht="99.75" customHeight="1" x14ac:dyDescent="0.3">
      <c r="B13" s="31" t="s">
        <v>43</v>
      </c>
      <c r="C13" s="32" t="s">
        <v>754</v>
      </c>
      <c r="D13" s="32"/>
      <c r="E13" s="32"/>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6.25" customHeight="1" x14ac:dyDescent="0.25">
      <c r="B17" s="365" t="s">
        <v>89</v>
      </c>
      <c r="C17" s="365" t="s">
        <v>90</v>
      </c>
      <c r="D17" s="365" t="s">
        <v>91</v>
      </c>
      <c r="E17" s="365" t="s">
        <v>92</v>
      </c>
      <c r="F17" s="364" t="s">
        <v>93</v>
      </c>
      <c r="G17" s="364"/>
      <c r="H17" s="364"/>
      <c r="I17" s="364"/>
      <c r="J17" s="364"/>
      <c r="K17" s="364" t="s">
        <v>94</v>
      </c>
    </row>
    <row r="18" spans="1:11" ht="37.5" customHeight="1" x14ac:dyDescent="0.25">
      <c r="B18" s="365"/>
      <c r="C18" s="365"/>
      <c r="D18" s="365"/>
      <c r="E18" s="365"/>
      <c r="F18" s="27" t="s">
        <v>51</v>
      </c>
      <c r="G18" s="27" t="s">
        <v>52</v>
      </c>
      <c r="H18" s="27" t="s">
        <v>0</v>
      </c>
      <c r="I18" s="27" t="s">
        <v>1</v>
      </c>
      <c r="J18" s="27" t="s">
        <v>3</v>
      </c>
      <c r="K18" s="364"/>
    </row>
    <row r="19" spans="1:11" ht="84" customHeight="1" x14ac:dyDescent="0.25">
      <c r="B19" s="32" t="s">
        <v>752</v>
      </c>
      <c r="C19" s="30" t="s">
        <v>111</v>
      </c>
      <c r="D19" s="30"/>
      <c r="E19" s="30"/>
      <c r="F19" s="37">
        <f>+C39</f>
        <v>45474.82</v>
      </c>
      <c r="G19" s="37">
        <f>+D39</f>
        <v>73914.3</v>
      </c>
      <c r="H19" s="37">
        <f>+K39</f>
        <v>87445.4</v>
      </c>
      <c r="I19" s="37">
        <f>+L39</f>
        <v>0</v>
      </c>
      <c r="J19" s="37">
        <f>+M39</f>
        <v>0</v>
      </c>
      <c r="K19" s="38"/>
    </row>
    <row r="20" spans="1:11" ht="17.25" x14ac:dyDescent="0.25">
      <c r="B20" s="3"/>
      <c r="C20" s="3"/>
      <c r="D20" s="3"/>
      <c r="E20" s="3"/>
      <c r="F20" s="3"/>
      <c r="G20" s="3"/>
      <c r="H20" s="3"/>
      <c r="I20" s="3"/>
      <c r="J20" s="3"/>
    </row>
    <row r="21" spans="1:11" ht="15.75" x14ac:dyDescent="0.25">
      <c r="A21" s="12" t="s">
        <v>53</v>
      </c>
      <c r="C21" s="13"/>
      <c r="D21" s="13"/>
      <c r="E21" s="13"/>
      <c r="F21" s="13"/>
      <c r="G21" s="13"/>
      <c r="H21" s="35"/>
      <c r="I21" s="13"/>
      <c r="J21" s="13"/>
    </row>
    <row r="22" spans="1:11" x14ac:dyDescent="0.25">
      <c r="A22" s="14"/>
      <c r="C22" s="15"/>
      <c r="D22" s="15"/>
      <c r="E22" s="15"/>
      <c r="F22" s="15"/>
      <c r="G22" s="15"/>
      <c r="H22" s="15"/>
      <c r="I22" s="15"/>
      <c r="J22" s="15"/>
    </row>
    <row r="23" spans="1:11" x14ac:dyDescent="0.25">
      <c r="A23" s="16" t="s">
        <v>54</v>
      </c>
      <c r="C23" s="17"/>
      <c r="D23" s="17"/>
      <c r="E23" s="13"/>
      <c r="F23" s="13"/>
      <c r="G23" s="13"/>
      <c r="H23" s="13"/>
      <c r="I23" s="13"/>
      <c r="J23" s="13"/>
    </row>
    <row r="24" spans="1:11" x14ac:dyDescent="0.25">
      <c r="B24" s="17"/>
      <c r="C24" s="17"/>
      <c r="D24" s="17"/>
      <c r="E24" s="13"/>
      <c r="F24" s="13"/>
      <c r="G24" s="13"/>
      <c r="H24" s="13"/>
      <c r="I24" s="13"/>
      <c r="J24" s="13"/>
    </row>
    <row r="25" spans="1:11" x14ac:dyDescent="0.25">
      <c r="B25" s="17"/>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A28" s="16" t="s">
        <v>55</v>
      </c>
      <c r="E28" s="13"/>
      <c r="F28" s="13"/>
      <c r="G28" s="13"/>
      <c r="H28" s="13"/>
      <c r="I28" s="13"/>
      <c r="J28" s="13"/>
    </row>
    <row r="29" spans="1:11" ht="31.15" customHeight="1" x14ac:dyDescent="0.25">
      <c r="B29" s="398" t="s">
        <v>754</v>
      </c>
      <c r="C29" s="399"/>
      <c r="D29" s="399"/>
      <c r="E29" s="400"/>
      <c r="F29" s="13"/>
      <c r="G29" s="13"/>
      <c r="H29" s="13"/>
      <c r="I29" s="13"/>
      <c r="J29" s="13"/>
    </row>
    <row r="30" spans="1:11" ht="17.25" x14ac:dyDescent="0.25">
      <c r="B30" s="3"/>
      <c r="C30" s="3"/>
      <c r="D30" s="3"/>
      <c r="E30" s="13"/>
      <c r="F30" s="13"/>
      <c r="G30" s="13"/>
      <c r="H30" s="13"/>
      <c r="I30" s="13"/>
      <c r="J30" s="13"/>
    </row>
    <row r="31" spans="1:11" x14ac:dyDescent="0.25">
      <c r="A31" s="7" t="s">
        <v>56</v>
      </c>
    </row>
    <row r="32" spans="1:11" x14ac:dyDescent="0.25">
      <c r="F32" s="84"/>
    </row>
    <row r="33" spans="1:19" ht="43.5" customHeight="1" x14ac:dyDescent="0.25">
      <c r="B33" s="363" t="s">
        <v>95</v>
      </c>
      <c r="C33" s="4" t="s">
        <v>96</v>
      </c>
      <c r="D33" s="4" t="s">
        <v>97</v>
      </c>
      <c r="E33" s="358" t="s">
        <v>98</v>
      </c>
      <c r="F33" s="358"/>
      <c r="G33" s="358"/>
      <c r="H33" s="358" t="s">
        <v>99</v>
      </c>
      <c r="I33" s="358"/>
      <c r="J33" s="358"/>
      <c r="K33" s="358" t="s">
        <v>100</v>
      </c>
      <c r="L33" s="358"/>
      <c r="M33" s="358"/>
      <c r="N33" s="358" t="s">
        <v>101</v>
      </c>
      <c r="O33" s="358"/>
      <c r="P33" s="358"/>
      <c r="Q33" s="359" t="s">
        <v>102</v>
      </c>
      <c r="R33" s="359"/>
      <c r="S33" s="359"/>
    </row>
    <row r="34" spans="1:19" ht="30" customHeight="1" x14ac:dyDescent="0.25">
      <c r="B34" s="363"/>
      <c r="C34" s="4" t="s">
        <v>35</v>
      </c>
      <c r="D34" s="4" t="s">
        <v>36</v>
      </c>
      <c r="E34" s="19" t="s">
        <v>0</v>
      </c>
      <c r="F34" s="19" t="s">
        <v>1</v>
      </c>
      <c r="G34" s="19" t="s">
        <v>3</v>
      </c>
      <c r="H34" s="19" t="s">
        <v>0</v>
      </c>
      <c r="I34" s="19" t="s">
        <v>1</v>
      </c>
      <c r="J34" s="19" t="s">
        <v>3</v>
      </c>
      <c r="K34" s="19" t="s">
        <v>39</v>
      </c>
      <c r="L34" s="19" t="s">
        <v>38</v>
      </c>
      <c r="M34" s="19" t="s">
        <v>37</v>
      </c>
      <c r="N34" s="19" t="s">
        <v>39</v>
      </c>
      <c r="O34" s="19" t="s">
        <v>38</v>
      </c>
      <c r="P34" s="19" t="s">
        <v>37</v>
      </c>
      <c r="Q34" s="26" t="s">
        <v>0</v>
      </c>
      <c r="R34" s="26" t="s">
        <v>1</v>
      </c>
      <c r="S34" s="26" t="s">
        <v>3</v>
      </c>
    </row>
    <row r="35" spans="1:19" ht="27" customHeight="1" x14ac:dyDescent="0.25">
      <c r="B35" s="22" t="s">
        <v>754</v>
      </c>
      <c r="C35" s="51">
        <v>45474.82</v>
      </c>
      <c r="D35" s="51">
        <v>73914.3</v>
      </c>
      <c r="E35" s="40">
        <f>+K35-C35</f>
        <v>41970.579999999994</v>
      </c>
      <c r="F35" s="40"/>
      <c r="G35" s="40"/>
      <c r="H35" s="40"/>
      <c r="I35" s="40"/>
      <c r="J35" s="40"/>
      <c r="K35" s="41">
        <v>87445.4</v>
      </c>
      <c r="L35" s="41"/>
      <c r="M35" s="41"/>
      <c r="N35" s="40"/>
      <c r="O35" s="40"/>
      <c r="P35" s="40"/>
      <c r="Q35" s="43">
        <f>K35+N35</f>
        <v>87445.4</v>
      </c>
      <c r="R35" s="43">
        <f>L35+O35</f>
        <v>0</v>
      </c>
      <c r="S35" s="43">
        <f>M35+P35</f>
        <v>0</v>
      </c>
    </row>
    <row r="36" spans="1:19" x14ac:dyDescent="0.25">
      <c r="B36" s="22"/>
      <c r="C36" s="39"/>
      <c r="D36" s="39"/>
      <c r="E36" s="40"/>
      <c r="F36" s="40"/>
      <c r="G36" s="40"/>
      <c r="H36" s="40"/>
      <c r="I36" s="40"/>
      <c r="J36" s="40"/>
      <c r="K36" s="41"/>
      <c r="L36" s="41"/>
      <c r="M36" s="41"/>
      <c r="N36" s="40"/>
      <c r="O36" s="40"/>
      <c r="P36" s="40"/>
      <c r="Q36" s="43">
        <f t="shared" ref="Q36:S36" si="0">K36+N36</f>
        <v>0</v>
      </c>
      <c r="R36" s="43">
        <f t="shared" si="0"/>
        <v>0</v>
      </c>
      <c r="S36" s="43">
        <f t="shared" si="0"/>
        <v>0</v>
      </c>
    </row>
    <row r="37" spans="1:19" ht="28.5" x14ac:dyDescent="0.25">
      <c r="B37" s="18" t="s">
        <v>73</v>
      </c>
      <c r="C37" s="39">
        <f>+C35</f>
        <v>45474.82</v>
      </c>
      <c r="D37" s="39">
        <f>+D35</f>
        <v>73914.3</v>
      </c>
      <c r="E37" s="41">
        <f>SUM(E35:E36)</f>
        <v>41970.579999999994</v>
      </c>
      <c r="F37" s="41"/>
      <c r="G37" s="41"/>
      <c r="H37" s="41">
        <f>SUM(H35:H36)</f>
        <v>0</v>
      </c>
      <c r="I37" s="41">
        <f>SUM(I35:I36)</f>
        <v>0</v>
      </c>
      <c r="J37" s="41">
        <f>SUM(J35:J36)</f>
        <v>0</v>
      </c>
      <c r="K37" s="41"/>
      <c r="L37" s="41"/>
      <c r="M37" s="41"/>
      <c r="N37" s="42" t="s">
        <v>2</v>
      </c>
      <c r="O37" s="42" t="s">
        <v>2</v>
      </c>
      <c r="P37" s="42" t="s">
        <v>2</v>
      </c>
      <c r="Q37" s="43" t="s">
        <v>2</v>
      </c>
      <c r="R37" s="43" t="s">
        <v>2</v>
      </c>
      <c r="S37" s="43" t="s">
        <v>2</v>
      </c>
    </row>
    <row r="38" spans="1:19" ht="28.5" x14ac:dyDescent="0.25">
      <c r="B38" s="18" t="s">
        <v>60</v>
      </c>
      <c r="C38" s="39"/>
      <c r="D38" s="39"/>
      <c r="E38" s="41" t="s">
        <v>72</v>
      </c>
      <c r="F38" s="41" t="s">
        <v>72</v>
      </c>
      <c r="G38" s="41" t="s">
        <v>72</v>
      </c>
      <c r="H38" s="41" t="s">
        <v>72</v>
      </c>
      <c r="I38" s="41" t="s">
        <v>72</v>
      </c>
      <c r="J38" s="41" t="s">
        <v>72</v>
      </c>
      <c r="K38" s="41"/>
      <c r="L38" s="41"/>
      <c r="M38" s="41"/>
      <c r="N38" s="42" t="s">
        <v>2</v>
      </c>
      <c r="O38" s="42" t="s">
        <v>2</v>
      </c>
      <c r="P38" s="42" t="s">
        <v>2</v>
      </c>
      <c r="Q38" s="43" t="s">
        <v>2</v>
      </c>
      <c r="R38" s="43" t="s">
        <v>2</v>
      </c>
      <c r="S38" s="43" t="s">
        <v>2</v>
      </c>
    </row>
    <row r="39" spans="1:19" x14ac:dyDescent="0.25">
      <c r="A39" s="199"/>
      <c r="B39" s="246" t="s">
        <v>698</v>
      </c>
      <c r="C39" s="247">
        <f>+C37</f>
        <v>45474.82</v>
      </c>
      <c r="D39" s="247">
        <f>+D37</f>
        <v>73914.3</v>
      </c>
      <c r="E39" s="247">
        <f>E37</f>
        <v>41970.579999999994</v>
      </c>
      <c r="F39" s="247">
        <f t="shared" ref="F39:J39" si="1">F37</f>
        <v>0</v>
      </c>
      <c r="G39" s="247">
        <f t="shared" si="1"/>
        <v>0</v>
      </c>
      <c r="H39" s="247">
        <f t="shared" si="1"/>
        <v>0</v>
      </c>
      <c r="I39" s="247">
        <f t="shared" si="1"/>
        <v>0</v>
      </c>
      <c r="J39" s="247">
        <f t="shared" si="1"/>
        <v>0</v>
      </c>
      <c r="K39" s="248">
        <f>SUM(K35:K38)</f>
        <v>87445.4</v>
      </c>
      <c r="L39" s="248">
        <f t="shared" ref="L39:M39" si="2">L37+L38</f>
        <v>0</v>
      </c>
      <c r="M39" s="248">
        <f t="shared" si="2"/>
        <v>0</v>
      </c>
      <c r="N39" s="248">
        <f>SUM(N35:N36)</f>
        <v>0</v>
      </c>
      <c r="O39" s="248">
        <f>SUM(O35:O36)</f>
        <v>0</v>
      </c>
      <c r="P39" s="248">
        <f>SUM(P35:P36)</f>
        <v>0</v>
      </c>
      <c r="Q39" s="249">
        <f>K39+N39</f>
        <v>87445.4</v>
      </c>
      <c r="R39" s="249">
        <f>L39+O39</f>
        <v>0</v>
      </c>
      <c r="S39" s="249">
        <f>M39+P39</f>
        <v>0</v>
      </c>
    </row>
    <row r="40" spans="1:19" x14ac:dyDescent="0.25">
      <c r="D40" s="86"/>
      <c r="K40" s="84"/>
      <c r="L40" s="84"/>
      <c r="M40" s="84"/>
    </row>
    <row r="41" spans="1:19" ht="32.25" customHeight="1" x14ac:dyDescent="0.25">
      <c r="B41" t="s">
        <v>755</v>
      </c>
      <c r="C41" s="84"/>
    </row>
    <row r="42" spans="1:19" x14ac:dyDescent="0.25">
      <c r="D42" s="84"/>
      <c r="E42" s="84"/>
    </row>
    <row r="45" spans="1:19" x14ac:dyDescent="0.25">
      <c r="K45" s="36"/>
    </row>
  </sheetData>
  <mergeCells count="13">
    <mergeCell ref="Q33:S33"/>
    <mergeCell ref="B29:E29"/>
    <mergeCell ref="B33:B34"/>
    <mergeCell ref="E33:G33"/>
    <mergeCell ref="H33:J33"/>
    <mergeCell ref="K33:M33"/>
    <mergeCell ref="N33:P33"/>
    <mergeCell ref="K17:K18"/>
    <mergeCell ref="B17:B18"/>
    <mergeCell ref="C17:C18"/>
    <mergeCell ref="D17:D18"/>
    <mergeCell ref="E17:E18"/>
    <mergeCell ref="F17:J17"/>
  </mergeCells>
  <dataValidations count="4">
    <dataValidation type="custom" allowBlank="1" showInputMessage="1" showErrorMessage="1" sqref="N35:P36" xr:uid="{59E8DE7D-7147-4F30-B68B-799069F83912}">
      <formula1>"-"</formula1>
    </dataValidation>
    <dataValidation type="list" allowBlank="1" showInputMessage="1" showErrorMessage="1" sqref="D19" xr:uid="{C28818DE-A747-4F8B-803C-86E28B687579}">
      <formula1>$V$2:$V$3</formula1>
    </dataValidation>
    <dataValidation showInputMessage="1" showErrorMessage="1" sqref="E19" xr:uid="{B7ECB391-F516-4EE5-B9CD-EE6F63B16D97}"/>
    <dataValidation type="list" allowBlank="1" showInputMessage="1" showErrorMessage="1" sqref="B13" xr:uid="{955AC1AD-5AD9-4F0D-9A01-EB30382B220D}">
      <formula1>$U$2:$U$4</formula1>
    </dataValidation>
  </dataValidations>
  <hyperlinks>
    <hyperlink ref="C12" location="_ftn1" display="_ftn1" xr:uid="{B04F0ACD-5BAF-4F8A-B8BB-80E842036058}"/>
    <hyperlink ref="D12" location="_ftn2" display="_ftn2" xr:uid="{B1E18847-55B0-4411-B8E7-E02AFC3CF445}"/>
    <hyperlink ref="E12" location="_ftn3" display="_ftn3" xr:uid="{47706D86-9BCF-486E-A69E-C2513CDE877D}"/>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69313" r:id="rId3" name="Check Box 1">
              <controlPr defaultSize="0" autoFill="0" autoLine="0" autoPict="0">
                <anchor moveWithCells="1">
                  <from>
                    <xdr:col>1</xdr:col>
                    <xdr:colOff>85725</xdr:colOff>
                    <xdr:row>25</xdr:row>
                    <xdr:rowOff>0</xdr:rowOff>
                  </from>
                  <to>
                    <xdr:col>2</xdr:col>
                    <xdr:colOff>1085850</xdr:colOff>
                    <xdr:row>26</xdr:row>
                    <xdr:rowOff>28575</xdr:rowOff>
                  </to>
                </anchor>
              </controlPr>
            </control>
          </mc:Choice>
        </mc:AlternateContent>
        <mc:AlternateContent xmlns:mc="http://schemas.openxmlformats.org/markup-compatibility/2006">
          <mc:Choice Requires="x14">
            <control shapeId="269314" r:id="rId4" name="Check Box 2">
              <controlPr defaultSize="0" autoFill="0" autoLine="0" autoPict="0">
                <anchor moveWithCells="1">
                  <from>
                    <xdr:col>1</xdr:col>
                    <xdr:colOff>85725</xdr:colOff>
                    <xdr:row>22</xdr:row>
                    <xdr:rowOff>171450</xdr:rowOff>
                  </from>
                  <to>
                    <xdr:col>3</xdr:col>
                    <xdr:colOff>285750</xdr:colOff>
                    <xdr:row>24</xdr:row>
                    <xdr:rowOff>28575</xdr:rowOff>
                  </to>
                </anchor>
              </controlPr>
            </control>
          </mc:Choice>
        </mc:AlternateContent>
        <mc:AlternateContent xmlns:mc="http://schemas.openxmlformats.org/markup-compatibility/2006">
          <mc:Choice Requires="x14">
            <control shapeId="269315" r:id="rId5" name="Check Box 3">
              <controlPr defaultSize="0" autoFill="0" autoLine="0" autoPict="0">
                <anchor moveWithCells="1">
                  <from>
                    <xdr:col>1</xdr:col>
                    <xdr:colOff>85725</xdr:colOff>
                    <xdr:row>24</xdr:row>
                    <xdr:rowOff>28575</xdr:rowOff>
                  </from>
                  <to>
                    <xdr:col>3</xdr:col>
                    <xdr:colOff>285750</xdr:colOff>
                    <xdr:row>25</xdr:row>
                    <xdr:rowOff>0</xdr:rowOff>
                  </to>
                </anchor>
              </controlPr>
            </control>
          </mc:Choice>
        </mc:AlternateContent>
        <mc:AlternateContent xmlns:mc="http://schemas.openxmlformats.org/markup-compatibility/2006">
          <mc:Choice Requires="x14">
            <control shapeId="269316" r:id="rId6" name="Check Box 4">
              <controlPr defaultSize="0" autoFill="0" autoLine="0" autoPict="0">
                <anchor moveWithCells="1">
                  <from>
                    <xdr:col>1</xdr:col>
                    <xdr:colOff>95250</xdr:colOff>
                    <xdr:row>26</xdr:row>
                    <xdr:rowOff>9525</xdr:rowOff>
                  </from>
                  <to>
                    <xdr:col>2</xdr:col>
                    <xdr:colOff>485775</xdr:colOff>
                    <xdr:row>27</xdr:row>
                    <xdr:rowOff>0</xdr:rowOff>
                  </to>
                </anchor>
              </controlPr>
            </control>
          </mc:Choice>
        </mc:AlternateContent>
        <mc:AlternateContent xmlns:mc="http://schemas.openxmlformats.org/markup-compatibility/2006">
          <mc:Choice Requires="x14">
            <control shapeId="269317" r:id="rId7" name="Check Box 5">
              <controlPr defaultSize="0" autoFill="0" autoLine="0" autoPict="0">
                <anchor moveWithCells="1">
                  <from>
                    <xdr:col>1</xdr:col>
                    <xdr:colOff>85725</xdr:colOff>
                    <xdr:row>25</xdr:row>
                    <xdr:rowOff>0</xdr:rowOff>
                  </from>
                  <to>
                    <xdr:col>2</xdr:col>
                    <xdr:colOff>1085850</xdr:colOff>
                    <xdr:row>26</xdr:row>
                    <xdr:rowOff>28575</xdr:rowOff>
                  </to>
                </anchor>
              </controlPr>
            </control>
          </mc:Choice>
        </mc:AlternateContent>
        <mc:AlternateContent xmlns:mc="http://schemas.openxmlformats.org/markup-compatibility/2006">
          <mc:Choice Requires="x14">
            <control shapeId="269318" r:id="rId8" name="Check Box 6">
              <controlPr defaultSize="0" autoFill="0" autoLine="0" autoPict="0">
                <anchor moveWithCells="1">
                  <from>
                    <xdr:col>1</xdr:col>
                    <xdr:colOff>85725</xdr:colOff>
                    <xdr:row>22</xdr:row>
                    <xdr:rowOff>171450</xdr:rowOff>
                  </from>
                  <to>
                    <xdr:col>3</xdr:col>
                    <xdr:colOff>285750</xdr:colOff>
                    <xdr:row>24</xdr:row>
                    <xdr:rowOff>28575</xdr:rowOff>
                  </to>
                </anchor>
              </controlPr>
            </control>
          </mc:Choice>
        </mc:AlternateContent>
        <mc:AlternateContent xmlns:mc="http://schemas.openxmlformats.org/markup-compatibility/2006">
          <mc:Choice Requires="x14">
            <control shapeId="269319" r:id="rId9" name="Check Box 7">
              <controlPr defaultSize="0" autoFill="0" autoLine="0" autoPict="0">
                <anchor moveWithCells="1">
                  <from>
                    <xdr:col>1</xdr:col>
                    <xdr:colOff>85725</xdr:colOff>
                    <xdr:row>24</xdr:row>
                    <xdr:rowOff>28575</xdr:rowOff>
                  </from>
                  <to>
                    <xdr:col>3</xdr:col>
                    <xdr:colOff>285750</xdr:colOff>
                    <xdr:row>25</xdr:row>
                    <xdr:rowOff>0</xdr:rowOff>
                  </to>
                </anchor>
              </controlPr>
            </control>
          </mc:Choice>
        </mc:AlternateContent>
        <mc:AlternateContent xmlns:mc="http://schemas.openxmlformats.org/markup-compatibility/2006">
          <mc:Choice Requires="x14">
            <control shapeId="269320" r:id="rId10" name="Check Box 8">
              <controlPr defaultSize="0" autoFill="0" autoLine="0" autoPict="0">
                <anchor moveWithCells="1">
                  <from>
                    <xdr:col>1</xdr:col>
                    <xdr:colOff>95250</xdr:colOff>
                    <xdr:row>26</xdr:row>
                    <xdr:rowOff>9525</xdr:rowOff>
                  </from>
                  <to>
                    <xdr:col>2</xdr:col>
                    <xdr:colOff>485775</xdr:colOff>
                    <xdr:row>27</xdr:row>
                    <xdr:rowOff>0</xdr:rowOff>
                  </to>
                </anchor>
              </controlPr>
            </control>
          </mc:Choice>
        </mc:AlternateContent>
      </controls>
    </mc:Choice>
  </mc:AlternateContent>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FE528-FD06-472F-8992-E0804C126CE6}">
  <dimension ref="A1:W42"/>
  <sheetViews>
    <sheetView topLeftCell="A22" workbookViewId="0">
      <selection activeCell="D8" sqref="D8"/>
    </sheetView>
  </sheetViews>
  <sheetFormatPr defaultRowHeight="15" x14ac:dyDescent="0.25"/>
  <cols>
    <col min="1" max="1" width="6" customWidth="1"/>
    <col min="2" max="2" width="34.42578125" customWidth="1"/>
    <col min="3" max="3" width="29.5703125" customWidth="1"/>
    <col min="4" max="4" width="19.140625" customWidth="1"/>
    <col min="5" max="5" width="17.140625" customWidth="1"/>
    <col min="6" max="6" width="15.85546875" customWidth="1"/>
    <col min="7" max="7" width="14.28515625" customWidth="1"/>
    <col min="8" max="8" width="13" customWidth="1"/>
    <col min="9" max="9" width="12.85546875" customWidth="1"/>
    <col min="10" max="10" width="14" customWidth="1"/>
    <col min="11" max="11" width="17.140625" customWidth="1"/>
    <col min="12" max="12" width="11.7109375" customWidth="1"/>
    <col min="13" max="13" width="13.140625" customWidth="1"/>
    <col min="14" max="14" width="9.5703125" customWidth="1"/>
    <col min="15" max="15" width="8.140625" customWidth="1"/>
    <col min="16" max="16" width="8" customWidth="1"/>
    <col min="17" max="17" width="13.85546875" customWidth="1"/>
    <col min="18" max="19" width="11"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7.25" x14ac:dyDescent="0.3">
      <c r="B4" s="9"/>
      <c r="C4" s="9"/>
      <c r="D4" s="9"/>
      <c r="E4" s="9"/>
      <c r="F4" s="9"/>
      <c r="G4" s="3"/>
      <c r="H4" s="3"/>
      <c r="I4" s="3"/>
      <c r="J4" s="3"/>
      <c r="U4" s="5" t="s">
        <v>48</v>
      </c>
      <c r="V4" s="5"/>
    </row>
    <row r="5" spans="1:23" ht="42" x14ac:dyDescent="0.25">
      <c r="B5" s="25" t="s">
        <v>79</v>
      </c>
      <c r="C5" s="20">
        <v>1190</v>
      </c>
      <c r="E5" s="25" t="s">
        <v>83</v>
      </c>
      <c r="F5" s="20"/>
      <c r="H5" s="3"/>
      <c r="I5" s="3"/>
      <c r="J5" s="3"/>
    </row>
    <row r="6" spans="1:23" ht="55.5" x14ac:dyDescent="0.25">
      <c r="B6" s="25" t="s">
        <v>80</v>
      </c>
      <c r="C6" s="29" t="s">
        <v>751</v>
      </c>
      <c r="E6" s="25" t="s">
        <v>84</v>
      </c>
      <c r="F6" s="20"/>
      <c r="H6" s="3"/>
      <c r="I6" s="3"/>
      <c r="J6" s="3"/>
    </row>
    <row r="7" spans="1:23" ht="17.25" x14ac:dyDescent="0.25">
      <c r="B7" s="25" t="s">
        <v>81</v>
      </c>
      <c r="C7" s="20">
        <v>12001</v>
      </c>
      <c r="H7" s="3"/>
      <c r="I7" s="3"/>
      <c r="J7" s="3"/>
    </row>
    <row r="8" spans="1:23" ht="135" x14ac:dyDescent="0.25">
      <c r="B8" s="25" t="s">
        <v>82</v>
      </c>
      <c r="C8" s="32" t="s">
        <v>756</v>
      </c>
      <c r="H8" s="3"/>
      <c r="I8" s="3"/>
      <c r="J8" s="3"/>
    </row>
    <row r="9" spans="1:23" ht="17.25" x14ac:dyDescent="0.25">
      <c r="B9" s="6"/>
      <c r="C9" s="6"/>
      <c r="D9" s="6"/>
      <c r="E9" s="6"/>
      <c r="F9" s="3"/>
      <c r="G9" s="3"/>
      <c r="H9" s="3"/>
      <c r="I9" s="3"/>
      <c r="J9" s="3"/>
    </row>
    <row r="10" spans="1:23" ht="17.25" x14ac:dyDescent="0.25">
      <c r="A10" s="7" t="s">
        <v>49</v>
      </c>
      <c r="C10" s="3" t="s">
        <v>757</v>
      </c>
      <c r="D10" s="3"/>
      <c r="E10" s="3"/>
      <c r="F10" s="3"/>
      <c r="G10" s="3"/>
      <c r="H10" s="3"/>
      <c r="I10" s="3"/>
      <c r="J10" s="3"/>
    </row>
    <row r="11" spans="1:23" ht="17.25" x14ac:dyDescent="0.25">
      <c r="B11" s="3"/>
      <c r="C11" s="3"/>
      <c r="D11" s="3"/>
      <c r="E11" s="3"/>
      <c r="F11" s="3"/>
      <c r="G11" s="3"/>
      <c r="H11" s="3"/>
      <c r="I11" s="3"/>
      <c r="J11" s="3"/>
    </row>
    <row r="12" spans="1:23" ht="96" x14ac:dyDescent="0.25">
      <c r="B12" s="10" t="s">
        <v>85</v>
      </c>
      <c r="C12" s="28" t="s">
        <v>86</v>
      </c>
      <c r="D12" s="28" t="s">
        <v>87</v>
      </c>
      <c r="E12" s="28" t="s">
        <v>88</v>
      </c>
      <c r="F12" s="3"/>
      <c r="G12" s="3"/>
      <c r="H12" s="3"/>
      <c r="I12" s="3"/>
      <c r="J12" s="3"/>
    </row>
    <row r="13" spans="1:23" ht="121.5" x14ac:dyDescent="0.3">
      <c r="B13" s="31" t="s">
        <v>43</v>
      </c>
      <c r="C13" s="32" t="s">
        <v>758</v>
      </c>
      <c r="D13" s="32"/>
      <c r="E13" s="32"/>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6.25" customHeight="1" x14ac:dyDescent="0.25">
      <c r="B17" s="365" t="s">
        <v>89</v>
      </c>
      <c r="C17" s="365" t="s">
        <v>90</v>
      </c>
      <c r="D17" s="365" t="s">
        <v>91</v>
      </c>
      <c r="E17" s="365" t="s">
        <v>92</v>
      </c>
      <c r="F17" s="364" t="s">
        <v>93</v>
      </c>
      <c r="G17" s="364"/>
      <c r="H17" s="364"/>
      <c r="I17" s="364"/>
      <c r="J17" s="364"/>
      <c r="K17" s="364" t="s">
        <v>94</v>
      </c>
    </row>
    <row r="18" spans="1:11" ht="27" x14ac:dyDescent="0.25">
      <c r="B18" s="365"/>
      <c r="C18" s="365"/>
      <c r="D18" s="365"/>
      <c r="E18" s="365"/>
      <c r="F18" s="27" t="s">
        <v>51</v>
      </c>
      <c r="G18" s="27" t="s">
        <v>52</v>
      </c>
      <c r="H18" s="27" t="s">
        <v>0</v>
      </c>
      <c r="I18" s="27" t="s">
        <v>1</v>
      </c>
      <c r="J18" s="27" t="s">
        <v>3</v>
      </c>
      <c r="K18" s="364"/>
    </row>
    <row r="19" spans="1:11" ht="108" x14ac:dyDescent="0.25">
      <c r="B19" s="32" t="s">
        <v>752</v>
      </c>
      <c r="C19" s="30" t="s">
        <v>111</v>
      </c>
      <c r="D19" s="30"/>
      <c r="E19" s="30"/>
      <c r="F19" s="37">
        <f>+C39</f>
        <v>1977416.4</v>
      </c>
      <c r="G19" s="37">
        <f>+D39</f>
        <v>6283748.2000000002</v>
      </c>
      <c r="H19" s="37">
        <f>+K39</f>
        <v>6327841</v>
      </c>
      <c r="I19" s="37">
        <f>+L39</f>
        <v>243959.1</v>
      </c>
      <c r="J19" s="37">
        <f>+M39</f>
        <v>0</v>
      </c>
      <c r="K19" s="38"/>
    </row>
    <row r="20" spans="1:11" ht="17.25" x14ac:dyDescent="0.25">
      <c r="B20" s="3"/>
      <c r="C20" s="3"/>
      <c r="D20" s="3"/>
      <c r="E20" s="3"/>
      <c r="F20" s="3"/>
      <c r="G20" s="3"/>
      <c r="H20" s="3"/>
      <c r="I20" s="3"/>
      <c r="J20" s="3"/>
    </row>
    <row r="21" spans="1:11" ht="15.75" x14ac:dyDescent="0.25">
      <c r="A21" s="12" t="s">
        <v>53</v>
      </c>
      <c r="C21" s="13"/>
      <c r="D21" s="13"/>
      <c r="E21" s="13"/>
      <c r="F21" s="13"/>
      <c r="G21" s="13"/>
      <c r="H21" s="35"/>
      <c r="I21" s="13"/>
      <c r="J21" s="13"/>
    </row>
    <row r="22" spans="1:11" x14ac:dyDescent="0.25">
      <c r="A22" s="14"/>
      <c r="C22" s="15"/>
      <c r="D22" s="15"/>
      <c r="E22" s="15"/>
      <c r="F22" s="15"/>
      <c r="G22" s="15"/>
      <c r="H22" s="15"/>
      <c r="I22" s="15"/>
      <c r="J22" s="15"/>
    </row>
    <row r="23" spans="1:11" x14ac:dyDescent="0.25">
      <c r="A23" s="16" t="s">
        <v>54</v>
      </c>
      <c r="C23" s="17"/>
      <c r="D23" s="17"/>
      <c r="E23" s="13"/>
      <c r="F23" s="13"/>
      <c r="G23" s="13"/>
      <c r="H23" s="13"/>
      <c r="I23" s="13"/>
      <c r="J23" s="13"/>
    </row>
    <row r="24" spans="1:11" x14ac:dyDescent="0.25">
      <c r="B24" s="17"/>
      <c r="C24" s="17"/>
      <c r="D24" s="17"/>
      <c r="E24" s="13"/>
      <c r="F24" s="13"/>
      <c r="G24" s="13"/>
      <c r="H24" s="13"/>
      <c r="I24" s="13"/>
      <c r="J24" s="13"/>
    </row>
    <row r="25" spans="1:11" x14ac:dyDescent="0.25">
      <c r="B25" s="17"/>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A28" s="16" t="s">
        <v>55</v>
      </c>
      <c r="E28" s="13"/>
      <c r="F28" s="13"/>
      <c r="G28" s="13"/>
      <c r="H28" s="13"/>
      <c r="I28" s="13"/>
      <c r="J28" s="13"/>
    </row>
    <row r="29" spans="1:11" ht="31.15" customHeight="1" x14ac:dyDescent="0.25">
      <c r="B29" s="398" t="s">
        <v>754</v>
      </c>
      <c r="C29" s="399"/>
      <c r="D29" s="399"/>
      <c r="E29" s="400"/>
      <c r="F29" s="13"/>
      <c r="G29" s="13"/>
      <c r="H29" s="13"/>
      <c r="I29" s="13"/>
      <c r="J29" s="13"/>
    </row>
    <row r="30" spans="1:11" ht="17.25" x14ac:dyDescent="0.25">
      <c r="B30" s="3"/>
      <c r="C30" s="3"/>
      <c r="D30" s="3"/>
      <c r="E30" s="13"/>
      <c r="F30" s="13"/>
      <c r="G30" s="13"/>
      <c r="H30" s="13"/>
      <c r="I30" s="13"/>
      <c r="J30" s="13"/>
    </row>
    <row r="31" spans="1:11" x14ac:dyDescent="0.25">
      <c r="A31" s="7" t="s">
        <v>56</v>
      </c>
    </row>
    <row r="32" spans="1:11" x14ac:dyDescent="0.25">
      <c r="F32" s="84"/>
    </row>
    <row r="33" spans="1:19" ht="28.5" x14ac:dyDescent="0.25">
      <c r="B33" s="363" t="s">
        <v>95</v>
      </c>
      <c r="C33" s="4" t="s">
        <v>96</v>
      </c>
      <c r="D33" s="4" t="s">
        <v>97</v>
      </c>
      <c r="E33" s="358" t="s">
        <v>98</v>
      </c>
      <c r="F33" s="358"/>
      <c r="G33" s="358"/>
      <c r="H33" s="358" t="s">
        <v>99</v>
      </c>
      <c r="I33" s="358"/>
      <c r="J33" s="358"/>
      <c r="K33" s="358" t="s">
        <v>100</v>
      </c>
      <c r="L33" s="358"/>
      <c r="M33" s="358"/>
      <c r="N33" s="358" t="s">
        <v>101</v>
      </c>
      <c r="O33" s="358"/>
      <c r="P33" s="358"/>
      <c r="Q33" s="359" t="s">
        <v>102</v>
      </c>
      <c r="R33" s="359"/>
      <c r="S33" s="359"/>
    </row>
    <row r="34" spans="1:19" ht="30" customHeight="1" x14ac:dyDescent="0.25">
      <c r="B34" s="363"/>
      <c r="C34" s="4" t="s">
        <v>35</v>
      </c>
      <c r="D34" s="4" t="s">
        <v>36</v>
      </c>
      <c r="E34" s="19" t="s">
        <v>0</v>
      </c>
      <c r="F34" s="19" t="s">
        <v>1</v>
      </c>
      <c r="G34" s="19" t="s">
        <v>3</v>
      </c>
      <c r="H34" s="19" t="s">
        <v>0</v>
      </c>
      <c r="I34" s="19" t="s">
        <v>1</v>
      </c>
      <c r="J34" s="19" t="s">
        <v>3</v>
      </c>
      <c r="K34" s="19" t="s">
        <v>39</v>
      </c>
      <c r="L34" s="19" t="s">
        <v>38</v>
      </c>
      <c r="M34" s="19" t="s">
        <v>37</v>
      </c>
      <c r="N34" s="19" t="s">
        <v>39</v>
      </c>
      <c r="O34" s="19" t="s">
        <v>38</v>
      </c>
      <c r="P34" s="19" t="s">
        <v>37</v>
      </c>
      <c r="Q34" s="26" t="s">
        <v>0</v>
      </c>
      <c r="R34" s="26" t="s">
        <v>1</v>
      </c>
      <c r="S34" s="26" t="s">
        <v>3</v>
      </c>
    </row>
    <row r="35" spans="1:19" ht="108" x14ac:dyDescent="0.25">
      <c r="B35" s="32" t="s">
        <v>756</v>
      </c>
      <c r="C35" s="51">
        <v>1977416.4</v>
      </c>
      <c r="D35" s="51">
        <v>6283748.2000000002</v>
      </c>
      <c r="E35" s="40">
        <f>+K35-C35</f>
        <v>4350424.5999999996</v>
      </c>
      <c r="F35" s="40">
        <f>+L35-C35</f>
        <v>-1733457.2999999998</v>
      </c>
      <c r="G35" s="40"/>
      <c r="H35" s="40"/>
      <c r="I35" s="40"/>
      <c r="J35" s="40"/>
      <c r="K35" s="41">
        <v>6327841</v>
      </c>
      <c r="L35" s="41">
        <v>243959.1</v>
      </c>
      <c r="M35" s="41"/>
      <c r="N35" s="40"/>
      <c r="O35" s="40"/>
      <c r="P35" s="40"/>
      <c r="Q35" s="43">
        <f>K35+N35</f>
        <v>6327841</v>
      </c>
      <c r="R35" s="43">
        <f>L35+O35</f>
        <v>243959.1</v>
      </c>
      <c r="S35" s="43">
        <f>M35+P35</f>
        <v>0</v>
      </c>
    </row>
    <row r="36" spans="1:19" x14ac:dyDescent="0.25">
      <c r="B36" s="22"/>
      <c r="C36" s="39"/>
      <c r="D36" s="39"/>
      <c r="E36" s="40"/>
      <c r="F36" s="40"/>
      <c r="G36" s="40"/>
      <c r="H36" s="40"/>
      <c r="I36" s="40"/>
      <c r="J36" s="40"/>
      <c r="K36" s="41"/>
      <c r="L36" s="41"/>
      <c r="M36" s="41"/>
      <c r="N36" s="40"/>
      <c r="O36" s="40"/>
      <c r="P36" s="40"/>
      <c r="Q36" s="43">
        <f t="shared" ref="Q36:S36" si="0">K36+N36</f>
        <v>0</v>
      </c>
      <c r="R36" s="43">
        <f t="shared" si="0"/>
        <v>0</v>
      </c>
      <c r="S36" s="43">
        <f t="shared" si="0"/>
        <v>0</v>
      </c>
    </row>
    <row r="37" spans="1:19" ht="28.5" x14ac:dyDescent="0.25">
      <c r="B37" s="18" t="s">
        <v>73</v>
      </c>
      <c r="C37" s="39">
        <f>+C35</f>
        <v>1977416.4</v>
      </c>
      <c r="D37" s="39">
        <f>+D35</f>
        <v>6283748.2000000002</v>
      </c>
      <c r="E37" s="41">
        <f>SUM(E35:E36)</f>
        <v>4350424.5999999996</v>
      </c>
      <c r="F37" s="41">
        <f t="shared" ref="F37:G37" si="1">SUM(F35:F36)</f>
        <v>-1733457.2999999998</v>
      </c>
      <c r="G37" s="41">
        <f t="shared" si="1"/>
        <v>0</v>
      </c>
      <c r="H37" s="41">
        <f>SUM(H35:H36)</f>
        <v>0</v>
      </c>
      <c r="I37" s="41">
        <f>SUM(I35:I36)</f>
        <v>0</v>
      </c>
      <c r="J37" s="41">
        <f>SUM(J35:J36)</f>
        <v>0</v>
      </c>
      <c r="K37" s="41"/>
      <c r="L37" s="41"/>
      <c r="M37" s="41"/>
      <c r="N37" s="42" t="s">
        <v>2</v>
      </c>
      <c r="O37" s="42" t="s">
        <v>2</v>
      </c>
      <c r="P37" s="42" t="s">
        <v>2</v>
      </c>
      <c r="Q37" s="43" t="s">
        <v>2</v>
      </c>
      <c r="R37" s="43" t="s">
        <v>2</v>
      </c>
      <c r="S37" s="43" t="s">
        <v>2</v>
      </c>
    </row>
    <row r="38" spans="1:19" ht="28.5" x14ac:dyDescent="0.25">
      <c r="B38" s="18" t="s">
        <v>60</v>
      </c>
      <c r="C38" s="39"/>
      <c r="D38" s="39"/>
      <c r="E38" s="41" t="s">
        <v>72</v>
      </c>
      <c r="F38" s="41" t="s">
        <v>72</v>
      </c>
      <c r="G38" s="41" t="s">
        <v>72</v>
      </c>
      <c r="H38" s="41" t="s">
        <v>72</v>
      </c>
      <c r="I38" s="41" t="s">
        <v>72</v>
      </c>
      <c r="J38" s="41" t="s">
        <v>72</v>
      </c>
      <c r="K38" s="41"/>
      <c r="L38" s="41"/>
      <c r="M38" s="41"/>
      <c r="N38" s="42" t="s">
        <v>2</v>
      </c>
      <c r="O38" s="42" t="s">
        <v>2</v>
      </c>
      <c r="P38" s="42" t="s">
        <v>2</v>
      </c>
      <c r="Q38" s="43" t="s">
        <v>2</v>
      </c>
      <c r="R38" s="43" t="s">
        <v>2</v>
      </c>
      <c r="S38" s="43" t="s">
        <v>2</v>
      </c>
    </row>
    <row r="39" spans="1:19" x14ac:dyDescent="0.25">
      <c r="A39" s="199"/>
      <c r="B39" s="246" t="s">
        <v>698</v>
      </c>
      <c r="C39" s="247">
        <f>+C37</f>
        <v>1977416.4</v>
      </c>
      <c r="D39" s="247">
        <f>+D37</f>
        <v>6283748.2000000002</v>
      </c>
      <c r="E39" s="247">
        <f>E37</f>
        <v>4350424.5999999996</v>
      </c>
      <c r="F39" s="247">
        <f t="shared" ref="F39:J39" si="2">F37</f>
        <v>-1733457.2999999998</v>
      </c>
      <c r="G39" s="247">
        <f t="shared" si="2"/>
        <v>0</v>
      </c>
      <c r="H39" s="247">
        <f t="shared" si="2"/>
        <v>0</v>
      </c>
      <c r="I39" s="247">
        <f t="shared" si="2"/>
        <v>0</v>
      </c>
      <c r="J39" s="247">
        <f t="shared" si="2"/>
        <v>0</v>
      </c>
      <c r="K39" s="248">
        <f>SUM(K35:K38)</f>
        <v>6327841</v>
      </c>
      <c r="L39" s="248">
        <f>SUM(L35:L38)</f>
        <v>243959.1</v>
      </c>
      <c r="M39" s="248">
        <f t="shared" ref="M39" si="3">M37+M38</f>
        <v>0</v>
      </c>
      <c r="N39" s="248">
        <f>SUM(N35:N36)</f>
        <v>0</v>
      </c>
      <c r="O39" s="248">
        <f>SUM(O35:O36)</f>
        <v>0</v>
      </c>
      <c r="P39" s="248">
        <f>SUM(P35:P36)</f>
        <v>0</v>
      </c>
      <c r="Q39" s="249">
        <f>K39+N39</f>
        <v>6327841</v>
      </c>
      <c r="R39" s="249">
        <f>L39+O39</f>
        <v>243959.1</v>
      </c>
      <c r="S39" s="249">
        <f>M39+P39</f>
        <v>0</v>
      </c>
    </row>
    <row r="40" spans="1:19" x14ac:dyDescent="0.25">
      <c r="D40" s="86"/>
      <c r="K40" s="84"/>
      <c r="L40" s="84"/>
      <c r="M40" s="84"/>
    </row>
    <row r="41" spans="1:19" x14ac:dyDescent="0.25">
      <c r="B41" t="s">
        <v>755</v>
      </c>
      <c r="C41" s="84"/>
    </row>
    <row r="42" spans="1:19" x14ac:dyDescent="0.25">
      <c r="D42" s="84"/>
      <c r="E42" s="84"/>
    </row>
  </sheetData>
  <mergeCells count="13">
    <mergeCell ref="K17:K18"/>
    <mergeCell ref="B17:B18"/>
    <mergeCell ref="C17:C18"/>
    <mergeCell ref="D17:D18"/>
    <mergeCell ref="E17:E18"/>
    <mergeCell ref="F17:J17"/>
    <mergeCell ref="Q33:S33"/>
    <mergeCell ref="B29:E29"/>
    <mergeCell ref="B33:B34"/>
    <mergeCell ref="E33:G33"/>
    <mergeCell ref="H33:J33"/>
    <mergeCell ref="K33:M33"/>
    <mergeCell ref="N33:P33"/>
  </mergeCells>
  <dataValidations count="4">
    <dataValidation type="custom" allowBlank="1" showInputMessage="1" showErrorMessage="1" sqref="N35:P36" xr:uid="{832900F5-0276-4AAE-ABFB-81EE25F98197}">
      <formula1>"-"</formula1>
    </dataValidation>
    <dataValidation type="list" allowBlank="1" showInputMessage="1" showErrorMessage="1" sqref="D19" xr:uid="{FCAA082B-F31D-4D18-86F2-F54687281A79}">
      <formula1>$V$2:$V$3</formula1>
    </dataValidation>
    <dataValidation showInputMessage="1" showErrorMessage="1" sqref="E19" xr:uid="{110F2D00-4FE6-40CB-B6F2-5CF5855D12F8}"/>
    <dataValidation type="list" allowBlank="1" showInputMessage="1" showErrorMessage="1" sqref="B13" xr:uid="{F64CAEF9-A465-4791-87DC-A353F5A2FD06}">
      <formula1>$U$2:$U$4</formula1>
    </dataValidation>
  </dataValidations>
  <hyperlinks>
    <hyperlink ref="C12" location="_ftn1" display="_ftn1" xr:uid="{238628C1-E739-4F55-A54B-58BB054E97BD}"/>
    <hyperlink ref="D12" location="_ftn2" display="_ftn2" xr:uid="{09AFF0F2-650A-4135-8A15-42A71E66DB02}"/>
    <hyperlink ref="E12" location="_ftn3" display="_ftn3" xr:uid="{FD05139F-B0CA-486E-9CBF-42344F93681D}"/>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92865" r:id="rId3" name="Check Box 1">
              <controlPr defaultSize="0" autoFill="0" autoLine="0" autoPict="0">
                <anchor moveWithCells="1">
                  <from>
                    <xdr:col>1</xdr:col>
                    <xdr:colOff>85725</xdr:colOff>
                    <xdr:row>25</xdr:row>
                    <xdr:rowOff>0</xdr:rowOff>
                  </from>
                  <to>
                    <xdr:col>2</xdr:col>
                    <xdr:colOff>1085850</xdr:colOff>
                    <xdr:row>26</xdr:row>
                    <xdr:rowOff>28575</xdr:rowOff>
                  </to>
                </anchor>
              </controlPr>
            </control>
          </mc:Choice>
        </mc:AlternateContent>
        <mc:AlternateContent xmlns:mc="http://schemas.openxmlformats.org/markup-compatibility/2006">
          <mc:Choice Requires="x14">
            <control shapeId="292866" r:id="rId4" name="Check Box 2">
              <controlPr defaultSize="0" autoFill="0" autoLine="0" autoPict="0">
                <anchor moveWithCells="1">
                  <from>
                    <xdr:col>1</xdr:col>
                    <xdr:colOff>85725</xdr:colOff>
                    <xdr:row>22</xdr:row>
                    <xdr:rowOff>171450</xdr:rowOff>
                  </from>
                  <to>
                    <xdr:col>2</xdr:col>
                    <xdr:colOff>1847850</xdr:colOff>
                    <xdr:row>24</xdr:row>
                    <xdr:rowOff>28575</xdr:rowOff>
                  </to>
                </anchor>
              </controlPr>
            </control>
          </mc:Choice>
        </mc:AlternateContent>
        <mc:AlternateContent xmlns:mc="http://schemas.openxmlformats.org/markup-compatibility/2006">
          <mc:Choice Requires="x14">
            <control shapeId="292867" r:id="rId5" name="Check Box 3">
              <controlPr defaultSize="0" autoFill="0" autoLine="0" autoPict="0">
                <anchor moveWithCells="1">
                  <from>
                    <xdr:col>1</xdr:col>
                    <xdr:colOff>85725</xdr:colOff>
                    <xdr:row>24</xdr:row>
                    <xdr:rowOff>28575</xdr:rowOff>
                  </from>
                  <to>
                    <xdr:col>2</xdr:col>
                    <xdr:colOff>1847850</xdr:colOff>
                    <xdr:row>25</xdr:row>
                    <xdr:rowOff>0</xdr:rowOff>
                  </to>
                </anchor>
              </controlPr>
            </control>
          </mc:Choice>
        </mc:AlternateContent>
        <mc:AlternateContent xmlns:mc="http://schemas.openxmlformats.org/markup-compatibility/2006">
          <mc:Choice Requires="x14">
            <control shapeId="292868" r:id="rId6" name="Check Box 4">
              <controlPr defaultSize="0" autoFill="0" autoLine="0" autoPict="0">
                <anchor moveWithCells="1">
                  <from>
                    <xdr:col>1</xdr:col>
                    <xdr:colOff>95250</xdr:colOff>
                    <xdr:row>26</xdr:row>
                    <xdr:rowOff>9525</xdr:rowOff>
                  </from>
                  <to>
                    <xdr:col>2</xdr:col>
                    <xdr:colOff>485775</xdr:colOff>
                    <xdr:row>27</xdr:row>
                    <xdr:rowOff>0</xdr:rowOff>
                  </to>
                </anchor>
              </controlPr>
            </control>
          </mc:Choice>
        </mc:AlternateContent>
      </controls>
    </mc:Choice>
  </mc:AlternateConten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499984740745262"/>
  </sheetPr>
  <dimension ref="A1:P37"/>
  <sheetViews>
    <sheetView workbookViewId="0">
      <selection activeCell="A11" sqref="A11:P11"/>
    </sheetView>
  </sheetViews>
  <sheetFormatPr defaultRowHeight="15" x14ac:dyDescent="0.25"/>
  <sheetData>
    <row r="1" spans="1:16" ht="15" customHeight="1" x14ac:dyDescent="0.25">
      <c r="A1" s="403" t="s">
        <v>62</v>
      </c>
      <c r="B1" s="403"/>
      <c r="C1" s="403"/>
      <c r="D1" s="403"/>
      <c r="E1" s="403"/>
      <c r="F1" s="403"/>
      <c r="G1" s="403"/>
      <c r="H1" s="403"/>
      <c r="I1" s="403"/>
      <c r="J1" s="403"/>
      <c r="K1" s="403"/>
      <c r="L1" s="403"/>
      <c r="M1" s="403"/>
      <c r="N1" s="403"/>
      <c r="O1" s="403"/>
      <c r="P1" s="403"/>
    </row>
    <row r="2" spans="1:16" ht="17.25" x14ac:dyDescent="0.25">
      <c r="A2" s="403" t="s">
        <v>4</v>
      </c>
      <c r="B2" s="403"/>
      <c r="C2" s="403"/>
      <c r="D2" s="403"/>
      <c r="E2" s="403"/>
      <c r="F2" s="403"/>
      <c r="G2" s="403"/>
      <c r="H2" s="403"/>
      <c r="I2" s="403"/>
      <c r="J2" s="403"/>
      <c r="K2" s="403"/>
      <c r="L2" s="403"/>
      <c r="M2" s="403"/>
      <c r="N2" s="403"/>
      <c r="O2" s="403"/>
      <c r="P2" s="403"/>
    </row>
    <row r="3" spans="1:16" x14ac:dyDescent="0.25">
      <c r="A3" s="404"/>
      <c r="B3" s="404"/>
      <c r="C3" s="404"/>
      <c r="D3" s="404"/>
      <c r="E3" s="404"/>
      <c r="F3" s="404"/>
      <c r="G3" s="404"/>
      <c r="H3" s="404"/>
      <c r="I3" s="404"/>
      <c r="J3" s="404"/>
      <c r="K3" s="404"/>
      <c r="L3" s="404"/>
      <c r="M3" s="404"/>
      <c r="N3" s="404"/>
      <c r="O3" s="404"/>
      <c r="P3" s="404"/>
    </row>
    <row r="4" spans="1:16" x14ac:dyDescent="0.25">
      <c r="A4" s="401" t="s">
        <v>63</v>
      </c>
      <c r="B4" s="401"/>
      <c r="C4" s="401"/>
      <c r="D4" s="401"/>
      <c r="E4" s="401"/>
      <c r="F4" s="401"/>
      <c r="G4" s="401"/>
      <c r="H4" s="401"/>
      <c r="I4" s="401"/>
      <c r="J4" s="401"/>
      <c r="K4" s="401"/>
      <c r="L4" s="401"/>
      <c r="M4" s="401"/>
      <c r="N4" s="401"/>
      <c r="O4" s="401"/>
      <c r="P4" s="401"/>
    </row>
    <row r="5" spans="1:16" ht="15" customHeight="1" x14ac:dyDescent="0.25">
      <c r="A5" s="401" t="s">
        <v>5</v>
      </c>
      <c r="B5" s="401"/>
      <c r="C5" s="401"/>
      <c r="D5" s="401"/>
      <c r="E5" s="401"/>
      <c r="F5" s="401"/>
      <c r="G5" s="401"/>
      <c r="H5" s="401"/>
      <c r="I5" s="401"/>
      <c r="J5" s="401"/>
      <c r="K5" s="401"/>
      <c r="L5" s="401"/>
      <c r="M5" s="401"/>
      <c r="N5" s="401"/>
      <c r="O5" s="401"/>
      <c r="P5" s="401"/>
    </row>
    <row r="6" spans="1:16" x14ac:dyDescent="0.25">
      <c r="A6" s="401" t="s">
        <v>6</v>
      </c>
      <c r="B6" s="401"/>
      <c r="C6" s="401"/>
      <c r="D6" s="401"/>
      <c r="E6" s="401"/>
      <c r="F6" s="401"/>
      <c r="G6" s="401"/>
      <c r="H6" s="401"/>
      <c r="I6" s="401"/>
      <c r="J6" s="401"/>
      <c r="K6" s="401"/>
      <c r="L6" s="401"/>
      <c r="M6" s="401"/>
      <c r="N6" s="401"/>
      <c r="O6" s="401"/>
      <c r="P6" s="401"/>
    </row>
    <row r="7" spans="1:16" ht="27" customHeight="1" x14ac:dyDescent="0.25">
      <c r="A7" s="402" t="s">
        <v>29</v>
      </c>
      <c r="B7" s="402"/>
      <c r="C7" s="402"/>
      <c r="D7" s="402"/>
      <c r="E7" s="402"/>
      <c r="F7" s="402"/>
      <c r="G7" s="402"/>
      <c r="H7" s="402"/>
      <c r="I7" s="402"/>
      <c r="J7" s="402"/>
      <c r="K7" s="402"/>
      <c r="L7" s="402"/>
      <c r="M7" s="402"/>
      <c r="N7" s="402"/>
      <c r="O7" s="402"/>
      <c r="P7" s="402"/>
    </row>
    <row r="8" spans="1:16" x14ac:dyDescent="0.25">
      <c r="A8" s="405"/>
      <c r="B8" s="405"/>
      <c r="C8" s="405"/>
      <c r="D8" s="405"/>
      <c r="E8" s="405"/>
      <c r="F8" s="405"/>
      <c r="G8" s="405"/>
      <c r="H8" s="405"/>
      <c r="I8" s="405"/>
      <c r="J8" s="405"/>
      <c r="K8" s="405"/>
      <c r="L8" s="405"/>
      <c r="M8" s="405"/>
      <c r="N8" s="405"/>
      <c r="O8" s="405"/>
      <c r="P8" s="405"/>
    </row>
    <row r="9" spans="1:16" x14ac:dyDescent="0.25">
      <c r="A9" s="407" t="s">
        <v>7</v>
      </c>
      <c r="B9" s="407"/>
      <c r="C9" s="407"/>
      <c r="D9" s="407"/>
      <c r="E9" s="407"/>
      <c r="F9" s="407"/>
      <c r="G9" s="407"/>
      <c r="H9" s="407"/>
      <c r="I9" s="407"/>
      <c r="J9" s="407"/>
      <c r="K9" s="407"/>
      <c r="L9" s="407"/>
      <c r="M9" s="407"/>
      <c r="N9" s="407"/>
      <c r="O9" s="407"/>
      <c r="P9" s="407"/>
    </row>
    <row r="10" spans="1:16" x14ac:dyDescent="0.25">
      <c r="A10" s="406"/>
      <c r="B10" s="406"/>
      <c r="C10" s="406"/>
      <c r="D10" s="406"/>
      <c r="E10" s="406"/>
      <c r="F10" s="406"/>
      <c r="G10" s="406"/>
      <c r="H10" s="406"/>
      <c r="I10" s="406"/>
      <c r="J10" s="406"/>
      <c r="K10" s="406"/>
      <c r="L10" s="406"/>
      <c r="M10" s="406"/>
      <c r="N10" s="406"/>
      <c r="O10" s="406"/>
      <c r="P10" s="406"/>
    </row>
    <row r="11" spans="1:16" ht="99" customHeight="1" x14ac:dyDescent="0.25">
      <c r="A11" s="402" t="s">
        <v>31</v>
      </c>
      <c r="B11" s="402"/>
      <c r="C11" s="402"/>
      <c r="D11" s="402"/>
      <c r="E11" s="402"/>
      <c r="F11" s="402"/>
      <c r="G11" s="402"/>
      <c r="H11" s="402"/>
      <c r="I11" s="402"/>
      <c r="J11" s="402"/>
      <c r="K11" s="402"/>
      <c r="L11" s="402"/>
      <c r="M11" s="402"/>
      <c r="N11" s="402"/>
      <c r="O11" s="402"/>
      <c r="P11" s="402"/>
    </row>
    <row r="12" spans="1:16" ht="15" customHeight="1" x14ac:dyDescent="0.25">
      <c r="A12" s="402" t="s">
        <v>8</v>
      </c>
      <c r="B12" s="402"/>
      <c r="C12" s="402"/>
      <c r="D12" s="402"/>
      <c r="E12" s="402"/>
      <c r="F12" s="402"/>
      <c r="G12" s="402"/>
      <c r="H12" s="402"/>
      <c r="I12" s="402"/>
      <c r="J12" s="402"/>
      <c r="K12" s="402"/>
      <c r="L12" s="402"/>
      <c r="M12" s="402"/>
      <c r="N12" s="402"/>
      <c r="O12" s="402"/>
      <c r="P12" s="402"/>
    </row>
    <row r="13" spans="1:16" ht="15" customHeight="1" x14ac:dyDescent="0.25">
      <c r="A13" s="401" t="s">
        <v>9</v>
      </c>
      <c r="B13" s="401"/>
      <c r="C13" s="401"/>
      <c r="D13" s="401"/>
      <c r="E13" s="401"/>
      <c r="F13" s="401"/>
      <c r="G13" s="401"/>
      <c r="H13" s="401"/>
      <c r="I13" s="401"/>
      <c r="J13" s="401"/>
      <c r="K13" s="401"/>
      <c r="L13" s="401"/>
      <c r="M13" s="401"/>
      <c r="N13" s="401"/>
      <c r="O13" s="401"/>
      <c r="P13" s="401"/>
    </row>
    <row r="14" spans="1:16" ht="36" customHeight="1" x14ac:dyDescent="0.25">
      <c r="A14" s="402" t="s">
        <v>10</v>
      </c>
      <c r="B14" s="402"/>
      <c r="C14" s="402"/>
      <c r="D14" s="402"/>
      <c r="E14" s="402"/>
      <c r="F14" s="402"/>
      <c r="G14" s="402"/>
      <c r="H14" s="402"/>
      <c r="I14" s="402"/>
      <c r="J14" s="402"/>
      <c r="K14" s="402"/>
      <c r="L14" s="402"/>
      <c r="M14" s="402"/>
      <c r="N14" s="402"/>
      <c r="O14" s="402"/>
      <c r="P14" s="402"/>
    </row>
    <row r="15" spans="1:16" ht="44.25" customHeight="1" x14ac:dyDescent="0.25">
      <c r="A15" s="402" t="s">
        <v>11</v>
      </c>
      <c r="B15" s="402"/>
      <c r="C15" s="402"/>
      <c r="D15" s="402"/>
      <c r="E15" s="402"/>
      <c r="F15" s="402"/>
      <c r="G15" s="402"/>
      <c r="H15" s="402"/>
      <c r="I15" s="402"/>
      <c r="J15" s="402"/>
      <c r="K15" s="402"/>
      <c r="L15" s="402"/>
      <c r="M15" s="402"/>
      <c r="N15" s="402"/>
      <c r="O15" s="402"/>
      <c r="P15" s="402"/>
    </row>
    <row r="16" spans="1:16" ht="86.25" customHeight="1" x14ac:dyDescent="0.25">
      <c r="A16" s="402" t="s">
        <v>12</v>
      </c>
      <c r="B16" s="402"/>
      <c r="C16" s="402"/>
      <c r="D16" s="402"/>
      <c r="E16" s="402"/>
      <c r="F16" s="402"/>
      <c r="G16" s="402"/>
      <c r="H16" s="402"/>
      <c r="I16" s="402"/>
      <c r="J16" s="402"/>
      <c r="K16" s="402"/>
      <c r="L16" s="402"/>
      <c r="M16" s="402"/>
      <c r="N16" s="402"/>
      <c r="O16" s="402"/>
      <c r="P16" s="402"/>
    </row>
    <row r="17" spans="1:16" ht="15" customHeight="1" x14ac:dyDescent="0.25">
      <c r="A17" s="404"/>
      <c r="B17" s="404"/>
      <c r="C17" s="404"/>
      <c r="D17" s="404"/>
      <c r="E17" s="404"/>
      <c r="F17" s="404"/>
      <c r="G17" s="404"/>
      <c r="H17" s="404"/>
      <c r="I17" s="404"/>
      <c r="J17" s="404"/>
      <c r="K17" s="404"/>
      <c r="L17" s="404"/>
      <c r="M17" s="404"/>
      <c r="N17" s="404"/>
      <c r="O17" s="404"/>
      <c r="P17" s="404"/>
    </row>
    <row r="18" spans="1:16" ht="15" customHeight="1" x14ac:dyDescent="0.25">
      <c r="A18" s="407" t="s">
        <v>13</v>
      </c>
      <c r="B18" s="407"/>
      <c r="C18" s="407"/>
      <c r="D18" s="407"/>
      <c r="E18" s="407"/>
      <c r="F18" s="407"/>
      <c r="G18" s="407"/>
      <c r="H18" s="407"/>
      <c r="I18" s="407"/>
      <c r="J18" s="407"/>
      <c r="K18" s="407"/>
      <c r="L18" s="407"/>
      <c r="M18" s="407"/>
      <c r="N18" s="407"/>
      <c r="O18" s="407"/>
      <c r="P18" s="407"/>
    </row>
    <row r="19" spans="1:16" x14ac:dyDescent="0.25">
      <c r="A19" s="404"/>
      <c r="B19" s="404"/>
      <c r="C19" s="404"/>
      <c r="D19" s="404"/>
      <c r="E19" s="404"/>
      <c r="F19" s="404"/>
      <c r="G19" s="404"/>
      <c r="H19" s="404"/>
      <c r="I19" s="404"/>
      <c r="J19" s="404"/>
      <c r="K19" s="404"/>
      <c r="L19" s="404"/>
      <c r="M19" s="404"/>
      <c r="N19" s="404"/>
      <c r="O19" s="404"/>
      <c r="P19" s="404"/>
    </row>
    <row r="20" spans="1:16" ht="46.5" customHeight="1" x14ac:dyDescent="0.25">
      <c r="A20" s="402" t="s">
        <v>14</v>
      </c>
      <c r="B20" s="402"/>
      <c r="C20" s="402"/>
      <c r="D20" s="402"/>
      <c r="E20" s="402"/>
      <c r="F20" s="402"/>
      <c r="G20" s="402"/>
      <c r="H20" s="402"/>
      <c r="I20" s="402"/>
      <c r="J20" s="402"/>
      <c r="K20" s="402"/>
      <c r="L20" s="402"/>
      <c r="M20" s="402"/>
      <c r="N20" s="402"/>
      <c r="O20" s="402"/>
      <c r="P20" s="402"/>
    </row>
    <row r="21" spans="1:16" ht="73.5" customHeight="1" x14ac:dyDescent="0.25">
      <c r="A21" s="402" t="s">
        <v>15</v>
      </c>
      <c r="B21" s="402"/>
      <c r="C21" s="402"/>
      <c r="D21" s="402"/>
      <c r="E21" s="402"/>
      <c r="F21" s="402"/>
      <c r="G21" s="402"/>
      <c r="H21" s="402"/>
      <c r="I21" s="402"/>
      <c r="J21" s="402"/>
      <c r="K21" s="402"/>
      <c r="L21" s="402"/>
      <c r="M21" s="402"/>
      <c r="N21" s="402"/>
      <c r="O21" s="402"/>
      <c r="P21" s="402"/>
    </row>
    <row r="22" spans="1:16" ht="79.5" customHeight="1" x14ac:dyDescent="0.25">
      <c r="A22" s="402" t="s">
        <v>16</v>
      </c>
      <c r="B22" s="402"/>
      <c r="C22" s="402"/>
      <c r="D22" s="402"/>
      <c r="E22" s="402"/>
      <c r="F22" s="402"/>
      <c r="G22" s="402"/>
      <c r="H22" s="402"/>
      <c r="I22" s="402"/>
      <c r="J22" s="402"/>
      <c r="K22" s="402"/>
      <c r="L22" s="402"/>
      <c r="M22" s="402"/>
      <c r="N22" s="402"/>
      <c r="O22" s="402"/>
      <c r="P22" s="402"/>
    </row>
    <row r="23" spans="1:16" ht="35.25" customHeight="1" x14ac:dyDescent="0.25">
      <c r="A23" s="402" t="s">
        <v>17</v>
      </c>
      <c r="B23" s="402"/>
      <c r="C23" s="402"/>
      <c r="D23" s="402"/>
      <c r="E23" s="402"/>
      <c r="F23" s="402"/>
      <c r="G23" s="402"/>
      <c r="H23" s="402"/>
      <c r="I23" s="402"/>
      <c r="J23" s="402"/>
      <c r="K23" s="402"/>
      <c r="L23" s="402"/>
      <c r="M23" s="402"/>
      <c r="N23" s="402"/>
      <c r="O23" s="402"/>
      <c r="P23" s="402"/>
    </row>
    <row r="24" spans="1:16" ht="63.75" customHeight="1" x14ac:dyDescent="0.25">
      <c r="A24" s="402" t="s">
        <v>18</v>
      </c>
      <c r="B24" s="402"/>
      <c r="C24" s="402"/>
      <c r="D24" s="402"/>
      <c r="E24" s="402"/>
      <c r="F24" s="402"/>
      <c r="G24" s="402"/>
      <c r="H24" s="402"/>
      <c r="I24" s="402"/>
      <c r="J24" s="402"/>
      <c r="K24" s="402"/>
      <c r="L24" s="402"/>
      <c r="M24" s="402"/>
      <c r="N24" s="402"/>
      <c r="O24" s="402"/>
      <c r="P24" s="402"/>
    </row>
    <row r="25" spans="1:16" ht="69" customHeight="1" x14ac:dyDescent="0.25">
      <c r="A25" s="402" t="s">
        <v>19</v>
      </c>
      <c r="B25" s="402"/>
      <c r="C25" s="402"/>
      <c r="D25" s="402"/>
      <c r="E25" s="402"/>
      <c r="F25" s="402"/>
      <c r="G25" s="402"/>
      <c r="H25" s="402"/>
      <c r="I25" s="402"/>
      <c r="J25" s="402"/>
      <c r="K25" s="402"/>
      <c r="L25" s="402"/>
      <c r="M25" s="402"/>
      <c r="N25" s="402"/>
      <c r="O25" s="402"/>
      <c r="P25" s="402"/>
    </row>
    <row r="26" spans="1:16" ht="25.5" customHeight="1" x14ac:dyDescent="0.25">
      <c r="A26" s="402" t="s">
        <v>20</v>
      </c>
      <c r="B26" s="402"/>
      <c r="C26" s="402"/>
      <c r="D26" s="402"/>
      <c r="E26" s="402"/>
      <c r="F26" s="402"/>
      <c r="G26" s="402"/>
      <c r="H26" s="402"/>
      <c r="I26" s="402"/>
      <c r="J26" s="402"/>
      <c r="K26" s="402"/>
      <c r="L26" s="402"/>
      <c r="M26" s="402"/>
      <c r="N26" s="402"/>
      <c r="O26" s="402"/>
      <c r="P26" s="402"/>
    </row>
    <row r="27" spans="1:16" ht="15" customHeight="1" x14ac:dyDescent="0.25">
      <c r="A27" s="401"/>
      <c r="B27" s="401"/>
      <c r="C27" s="401"/>
      <c r="D27" s="401"/>
      <c r="E27" s="401"/>
      <c r="F27" s="401"/>
      <c r="G27" s="401"/>
      <c r="H27" s="401"/>
      <c r="I27" s="401"/>
      <c r="J27" s="401"/>
      <c r="K27" s="401"/>
      <c r="L27" s="401"/>
      <c r="M27" s="401"/>
      <c r="N27" s="401"/>
      <c r="O27" s="401"/>
      <c r="P27" s="401"/>
    </row>
    <row r="28" spans="1:16" ht="15" customHeight="1" x14ac:dyDescent="0.25">
      <c r="A28" s="407" t="s">
        <v>21</v>
      </c>
      <c r="B28" s="407"/>
      <c r="C28" s="407"/>
      <c r="D28" s="407"/>
      <c r="E28" s="407"/>
      <c r="F28" s="407"/>
      <c r="G28" s="407"/>
      <c r="H28" s="407"/>
      <c r="I28" s="407"/>
      <c r="J28" s="407"/>
      <c r="K28" s="407"/>
      <c r="L28" s="407"/>
      <c r="M28" s="407"/>
      <c r="N28" s="407"/>
      <c r="O28" s="407"/>
      <c r="P28" s="407"/>
    </row>
    <row r="29" spans="1:16" ht="15" customHeight="1" x14ac:dyDescent="0.25">
      <c r="A29" s="404"/>
      <c r="B29" s="404"/>
      <c r="C29" s="404"/>
      <c r="D29" s="404"/>
      <c r="E29" s="404"/>
      <c r="F29" s="404"/>
      <c r="G29" s="404"/>
      <c r="H29" s="404"/>
      <c r="I29" s="404"/>
      <c r="J29" s="404"/>
      <c r="K29" s="404"/>
      <c r="L29" s="404"/>
      <c r="M29" s="404"/>
      <c r="N29" s="404"/>
      <c r="O29" s="404"/>
      <c r="P29" s="404"/>
    </row>
    <row r="30" spans="1:16" ht="51.75" customHeight="1" x14ac:dyDescent="0.25">
      <c r="A30" s="402" t="s">
        <v>22</v>
      </c>
      <c r="B30" s="402"/>
      <c r="C30" s="402"/>
      <c r="D30" s="402"/>
      <c r="E30" s="402"/>
      <c r="F30" s="402"/>
      <c r="G30" s="402"/>
      <c r="H30" s="402"/>
      <c r="I30" s="402"/>
      <c r="J30" s="402"/>
      <c r="K30" s="402"/>
      <c r="L30" s="402"/>
      <c r="M30" s="402"/>
      <c r="N30" s="402"/>
      <c r="O30" s="402"/>
      <c r="P30" s="402"/>
    </row>
    <row r="31" spans="1:16" ht="40.5" customHeight="1" x14ac:dyDescent="0.25">
      <c r="A31" s="402" t="s">
        <v>23</v>
      </c>
      <c r="B31" s="402"/>
      <c r="C31" s="402"/>
      <c r="D31" s="402"/>
      <c r="E31" s="402"/>
      <c r="F31" s="402"/>
      <c r="G31" s="402"/>
      <c r="H31" s="402"/>
      <c r="I31" s="402"/>
      <c r="J31" s="402"/>
      <c r="K31" s="402"/>
      <c r="L31" s="402"/>
      <c r="M31" s="402"/>
      <c r="N31" s="402"/>
      <c r="O31" s="402"/>
      <c r="P31" s="402"/>
    </row>
    <row r="32" spans="1:16" ht="46.5" customHeight="1" x14ac:dyDescent="0.25">
      <c r="A32" s="402" t="s">
        <v>24</v>
      </c>
      <c r="B32" s="402"/>
      <c r="C32" s="402"/>
      <c r="D32" s="402"/>
      <c r="E32" s="402"/>
      <c r="F32" s="402"/>
      <c r="G32" s="402"/>
      <c r="H32" s="402"/>
      <c r="I32" s="402"/>
      <c r="J32" s="402"/>
      <c r="K32" s="402"/>
      <c r="L32" s="402"/>
      <c r="M32" s="402"/>
      <c r="N32" s="402"/>
      <c r="O32" s="402"/>
      <c r="P32" s="402"/>
    </row>
    <row r="33" spans="1:16" ht="26.25" customHeight="1" x14ac:dyDescent="0.25">
      <c r="A33" s="402" t="s">
        <v>25</v>
      </c>
      <c r="B33" s="402"/>
      <c r="C33" s="402"/>
      <c r="D33" s="402"/>
      <c r="E33" s="402"/>
      <c r="F33" s="402"/>
      <c r="G33" s="402"/>
      <c r="H33" s="402"/>
      <c r="I33" s="402"/>
      <c r="J33" s="402"/>
      <c r="K33" s="402"/>
      <c r="L33" s="402"/>
      <c r="M33" s="402"/>
      <c r="N33" s="402"/>
      <c r="O33" s="402"/>
      <c r="P33" s="402"/>
    </row>
    <row r="34" spans="1:16" ht="50.25" customHeight="1" x14ac:dyDescent="0.25">
      <c r="A34" s="402" t="s">
        <v>26</v>
      </c>
      <c r="B34" s="402"/>
      <c r="C34" s="402"/>
      <c r="D34" s="402"/>
      <c r="E34" s="402"/>
      <c r="F34" s="402"/>
      <c r="G34" s="402"/>
      <c r="H34" s="402"/>
      <c r="I34" s="402"/>
      <c r="J34" s="402"/>
      <c r="K34" s="402"/>
      <c r="L34" s="402"/>
      <c r="M34" s="402"/>
      <c r="N34" s="402"/>
      <c r="O34" s="402"/>
      <c r="P34" s="402"/>
    </row>
    <row r="35" spans="1:16" ht="48" customHeight="1" x14ac:dyDescent="0.25">
      <c r="A35" s="402" t="s">
        <v>27</v>
      </c>
      <c r="B35" s="402"/>
      <c r="C35" s="402"/>
      <c r="D35" s="402"/>
      <c r="E35" s="402"/>
      <c r="F35" s="402"/>
      <c r="G35" s="402"/>
      <c r="H35" s="402"/>
      <c r="I35" s="402"/>
      <c r="J35" s="402"/>
      <c r="K35" s="402"/>
      <c r="L35" s="402"/>
      <c r="M35" s="402"/>
      <c r="N35" s="402"/>
      <c r="O35" s="402"/>
      <c r="P35" s="402"/>
    </row>
    <row r="36" spans="1:16" ht="45" customHeight="1" x14ac:dyDescent="0.25">
      <c r="A36" s="402" t="s">
        <v>28</v>
      </c>
      <c r="B36" s="402"/>
      <c r="C36" s="402"/>
      <c r="D36" s="402"/>
      <c r="E36" s="402"/>
      <c r="F36" s="402"/>
      <c r="G36" s="402"/>
      <c r="H36" s="402"/>
      <c r="I36" s="402"/>
      <c r="J36" s="402"/>
      <c r="K36" s="402"/>
      <c r="L36" s="402"/>
      <c r="M36" s="402"/>
      <c r="N36" s="402"/>
      <c r="O36" s="402"/>
      <c r="P36" s="402"/>
    </row>
    <row r="37" spans="1:16" ht="15" customHeight="1" x14ac:dyDescent="0.25">
      <c r="A37" s="2"/>
    </row>
  </sheetData>
  <mergeCells count="36">
    <mergeCell ref="A35:P35"/>
    <mergeCell ref="A36:P36"/>
    <mergeCell ref="A19:P19"/>
    <mergeCell ref="A30:P30"/>
    <mergeCell ref="A31:P31"/>
    <mergeCell ref="A32:P32"/>
    <mergeCell ref="A33:P33"/>
    <mergeCell ref="A25:P25"/>
    <mergeCell ref="A26:P26"/>
    <mergeCell ref="A28:P28"/>
    <mergeCell ref="A27:P27"/>
    <mergeCell ref="A29:P29"/>
    <mergeCell ref="A20:P20"/>
    <mergeCell ref="A21:P21"/>
    <mergeCell ref="A22:P22"/>
    <mergeCell ref="A15:P15"/>
    <mergeCell ref="A16:P16"/>
    <mergeCell ref="A18:P18"/>
    <mergeCell ref="A17:P17"/>
    <mergeCell ref="A34:P34"/>
    <mergeCell ref="A23:P23"/>
    <mergeCell ref="A24:P24"/>
    <mergeCell ref="A13:P13"/>
    <mergeCell ref="A14:P14"/>
    <mergeCell ref="A11:P11"/>
    <mergeCell ref="A12:P12"/>
    <mergeCell ref="A1:P1"/>
    <mergeCell ref="A4:P4"/>
    <mergeCell ref="A5:P5"/>
    <mergeCell ref="A6:P6"/>
    <mergeCell ref="A7:P7"/>
    <mergeCell ref="A2:P2"/>
    <mergeCell ref="A3:P3"/>
    <mergeCell ref="A8:P8"/>
    <mergeCell ref="A10:P10"/>
    <mergeCell ref="A9:P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158E0-0DBB-4B76-9580-7A3A8A5D53E1}">
  <dimension ref="A1:W42"/>
  <sheetViews>
    <sheetView topLeftCell="B31" zoomScale="81" zoomScaleNormal="81" workbookViewId="0">
      <selection activeCell="C45" sqref="C45"/>
    </sheetView>
  </sheetViews>
  <sheetFormatPr defaultRowHeight="15" x14ac:dyDescent="0.25"/>
  <cols>
    <col min="1" max="1" width="6" customWidth="1"/>
    <col min="2" max="2" width="23.28515625" customWidth="1"/>
    <col min="3" max="3" width="42.5703125" customWidth="1"/>
    <col min="4" max="4" width="31.5703125" customWidth="1"/>
    <col min="5" max="5" width="31.42578125" customWidth="1"/>
    <col min="6" max="6" width="24.5703125" customWidth="1"/>
    <col min="7" max="7" width="22.5703125" customWidth="1"/>
    <col min="8" max="8" width="16" customWidth="1"/>
    <col min="9" max="10" width="15.28515625" customWidth="1"/>
    <col min="11" max="11" width="28.28515625" customWidth="1"/>
    <col min="12" max="12" width="15.7109375" customWidth="1"/>
    <col min="13" max="13" width="13.85546875" customWidth="1"/>
    <col min="14" max="14" width="9.5703125" customWidth="1"/>
    <col min="15" max="15" width="8.140625" customWidth="1"/>
    <col min="16" max="16" width="8" customWidth="1"/>
    <col min="17" max="17" width="14.140625" customWidth="1"/>
    <col min="18" max="18" width="17.5703125" bestFit="1" customWidth="1"/>
    <col min="19" max="19" width="16.85546875" customWidth="1"/>
    <col min="21" max="23" width="0"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1022</v>
      </c>
      <c r="E5" s="25" t="s">
        <v>83</v>
      </c>
      <c r="F5" s="20" t="s">
        <v>599</v>
      </c>
      <c r="H5" s="3"/>
      <c r="I5" s="3"/>
      <c r="J5" s="3"/>
    </row>
    <row r="6" spans="1:23" ht="31.5" customHeight="1" x14ac:dyDescent="0.25">
      <c r="B6" s="25" t="s">
        <v>80</v>
      </c>
      <c r="C6" s="29" t="s">
        <v>103</v>
      </c>
      <c r="E6" s="25" t="s">
        <v>84</v>
      </c>
      <c r="F6" s="20" t="s">
        <v>608</v>
      </c>
      <c r="H6" s="3"/>
      <c r="I6" s="3"/>
      <c r="J6" s="3"/>
    </row>
    <row r="7" spans="1:23" ht="18" customHeight="1" x14ac:dyDescent="0.25">
      <c r="B7" s="25" t="s">
        <v>81</v>
      </c>
      <c r="C7" s="20">
        <v>12001</v>
      </c>
      <c r="H7" s="3"/>
      <c r="I7" s="3"/>
      <c r="J7" s="3"/>
    </row>
    <row r="8" spans="1:23" ht="45.75" customHeight="1" x14ac:dyDescent="0.25">
      <c r="B8" s="25" t="s">
        <v>82</v>
      </c>
      <c r="C8" s="29" t="s">
        <v>609</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147.75" customHeight="1" x14ac:dyDescent="0.3">
      <c r="B13" s="32" t="s">
        <v>46</v>
      </c>
      <c r="C13" s="133" t="s">
        <v>610</v>
      </c>
      <c r="D13" s="21"/>
      <c r="E13" s="32" t="s">
        <v>611</v>
      </c>
      <c r="F13" s="9"/>
      <c r="G13" s="3"/>
      <c r="H13" s="3"/>
      <c r="I13" s="3"/>
      <c r="J13" s="9"/>
    </row>
    <row r="14" spans="1:23" ht="95.25" x14ac:dyDescent="0.3">
      <c r="B14" s="32"/>
      <c r="C14" s="133" t="s">
        <v>612</v>
      </c>
      <c r="D14" s="21"/>
      <c r="E14" s="32" t="s">
        <v>613</v>
      </c>
      <c r="F14" s="3"/>
      <c r="G14" s="3"/>
      <c r="H14" s="3"/>
      <c r="I14" s="3"/>
      <c r="J14" s="9"/>
    </row>
    <row r="15" spans="1:23" ht="81.75" x14ac:dyDescent="0.3">
      <c r="B15" s="32"/>
      <c r="C15" s="133" t="s">
        <v>510</v>
      </c>
      <c r="D15" s="21"/>
      <c r="E15" s="32" t="s">
        <v>511</v>
      </c>
      <c r="F15" s="3"/>
      <c r="G15" s="3"/>
      <c r="H15" s="3"/>
      <c r="I15" s="3"/>
      <c r="J15" s="9"/>
    </row>
    <row r="16" spans="1:23" ht="81.75" x14ac:dyDescent="0.3">
      <c r="B16" s="32"/>
      <c r="C16" s="133" t="s">
        <v>614</v>
      </c>
      <c r="D16" s="21"/>
      <c r="E16" s="32" t="s">
        <v>513</v>
      </c>
      <c r="F16" s="3"/>
      <c r="G16" s="3"/>
      <c r="H16" s="3"/>
      <c r="I16" s="3"/>
      <c r="J16" s="9"/>
    </row>
    <row r="17" spans="1:11" ht="202.5" customHeight="1" x14ac:dyDescent="0.3">
      <c r="B17" s="32"/>
      <c r="C17" s="133" t="s">
        <v>615</v>
      </c>
      <c r="D17" s="21"/>
      <c r="E17" s="32" t="s">
        <v>616</v>
      </c>
      <c r="F17" s="3"/>
      <c r="G17" s="3"/>
      <c r="H17" s="3"/>
      <c r="I17" s="3"/>
      <c r="J17" s="9"/>
    </row>
    <row r="18" spans="1:11" ht="61.5" customHeight="1" x14ac:dyDescent="0.3">
      <c r="B18" s="32"/>
      <c r="C18" s="133" t="s">
        <v>617</v>
      </c>
      <c r="D18" s="21"/>
      <c r="E18" s="32" t="s">
        <v>618</v>
      </c>
      <c r="F18" s="3"/>
      <c r="G18" s="3"/>
      <c r="H18" s="3"/>
      <c r="I18" s="3"/>
      <c r="J18" s="9"/>
    </row>
    <row r="19" spans="1:11" ht="17.25" x14ac:dyDescent="0.3">
      <c r="A19" s="7" t="s">
        <v>50</v>
      </c>
      <c r="C19" s="3"/>
      <c r="D19" s="3"/>
      <c r="E19" s="3"/>
      <c r="F19" s="3"/>
      <c r="G19" s="3"/>
      <c r="H19" s="3"/>
      <c r="I19" s="3"/>
      <c r="J19" s="9"/>
    </row>
    <row r="20" spans="1:11" ht="17.25" x14ac:dyDescent="0.3">
      <c r="B20" s="11"/>
      <c r="C20" s="3"/>
      <c r="D20" s="3"/>
      <c r="E20" s="3"/>
      <c r="F20" s="3"/>
      <c r="G20" s="3"/>
      <c r="H20" s="3"/>
      <c r="I20" s="3"/>
      <c r="J20" s="9"/>
    </row>
    <row r="21" spans="1:11" ht="15" customHeight="1" x14ac:dyDescent="0.25">
      <c r="B21" s="365" t="s">
        <v>89</v>
      </c>
      <c r="C21" s="365" t="s">
        <v>90</v>
      </c>
      <c r="D21" s="365" t="s">
        <v>91</v>
      </c>
      <c r="E21" s="365" t="s">
        <v>92</v>
      </c>
      <c r="F21" s="364" t="s">
        <v>93</v>
      </c>
      <c r="G21" s="364"/>
      <c r="H21" s="364"/>
      <c r="I21" s="364"/>
      <c r="J21" s="364"/>
      <c r="K21" s="364" t="s">
        <v>94</v>
      </c>
    </row>
    <row r="22" spans="1:11" ht="27" x14ac:dyDescent="0.25">
      <c r="B22" s="365"/>
      <c r="C22" s="365"/>
      <c r="D22" s="365"/>
      <c r="E22" s="365"/>
      <c r="F22" s="27" t="s">
        <v>51</v>
      </c>
      <c r="G22" s="27" t="s">
        <v>52</v>
      </c>
      <c r="H22" s="27" t="s">
        <v>0</v>
      </c>
      <c r="I22" s="27" t="s">
        <v>1</v>
      </c>
      <c r="J22" s="27" t="s">
        <v>3</v>
      </c>
      <c r="K22" s="364"/>
    </row>
    <row r="23" spans="1:11" s="262" customFormat="1" ht="125.25" customHeight="1" x14ac:dyDescent="0.25">
      <c r="B23" s="32" t="s">
        <v>619</v>
      </c>
      <c r="C23" s="31" t="s">
        <v>318</v>
      </c>
      <c r="D23" s="31" t="s">
        <v>47</v>
      </c>
      <c r="E23" s="32" t="s">
        <v>620</v>
      </c>
      <c r="F23" s="31">
        <v>11838</v>
      </c>
      <c r="G23" s="31">
        <v>0</v>
      </c>
      <c r="H23" s="31">
        <v>0</v>
      </c>
      <c r="I23" s="31">
        <v>0</v>
      </c>
      <c r="J23" s="31">
        <v>0</v>
      </c>
      <c r="K23" s="32" t="s">
        <v>621</v>
      </c>
    </row>
    <row r="24" spans="1:11" ht="17.25" x14ac:dyDescent="0.25">
      <c r="B24" s="3"/>
      <c r="C24" s="3"/>
      <c r="D24" s="3"/>
      <c r="E24" s="3"/>
      <c r="F24" s="3"/>
      <c r="G24" s="3"/>
      <c r="H24" s="3"/>
      <c r="I24" s="3"/>
      <c r="J24" s="3"/>
    </row>
    <row r="25" spans="1:11" ht="15.75" x14ac:dyDescent="0.25">
      <c r="A25" s="12" t="s">
        <v>53</v>
      </c>
      <c r="C25" s="13"/>
      <c r="D25" s="13"/>
      <c r="E25" s="13"/>
      <c r="F25" s="13"/>
      <c r="G25" s="13"/>
      <c r="H25" s="13"/>
      <c r="I25" s="13"/>
      <c r="J25" s="13"/>
    </row>
    <row r="26" spans="1:11" x14ac:dyDescent="0.25">
      <c r="A26" s="14"/>
      <c r="C26" s="15"/>
      <c r="D26" s="15"/>
      <c r="E26" s="15"/>
      <c r="F26" s="15"/>
      <c r="G26" s="15"/>
      <c r="H26" s="15"/>
      <c r="I26" s="15"/>
      <c r="J26" s="15"/>
    </row>
    <row r="27" spans="1:11" x14ac:dyDescent="0.25">
      <c r="A27" s="16" t="s">
        <v>54</v>
      </c>
      <c r="C27" s="17"/>
      <c r="D27" s="17"/>
      <c r="E27" s="13"/>
      <c r="F27" s="13"/>
      <c r="G27" s="13"/>
      <c r="H27" s="13"/>
      <c r="I27" s="13"/>
      <c r="J27" s="13"/>
    </row>
    <row r="28" spans="1:11" x14ac:dyDescent="0.25">
      <c r="B28" s="17"/>
      <c r="C28" s="17"/>
      <c r="D28" s="17"/>
      <c r="E28" s="13"/>
      <c r="F28" s="13"/>
      <c r="G28" s="13"/>
      <c r="H28" s="13"/>
      <c r="I28" s="13"/>
      <c r="J28" s="13"/>
    </row>
    <row r="29" spans="1:11" x14ac:dyDescent="0.25">
      <c r="B29" s="17"/>
      <c r="C29" s="17"/>
      <c r="D29" s="17"/>
      <c r="E29" s="13"/>
      <c r="F29" s="13"/>
      <c r="G29" s="13"/>
      <c r="H29" s="13"/>
      <c r="I29" s="13"/>
      <c r="J29" s="13"/>
    </row>
    <row r="30" spans="1:11" x14ac:dyDescent="0.25">
      <c r="B30" s="17"/>
      <c r="C30" s="17"/>
      <c r="D30" s="17"/>
      <c r="E30" s="13"/>
      <c r="F30" s="13"/>
      <c r="G30" s="13"/>
      <c r="H30" s="13"/>
      <c r="I30" s="13"/>
      <c r="J30" s="13"/>
    </row>
    <row r="31" spans="1:11" x14ac:dyDescent="0.25">
      <c r="B31" s="17"/>
      <c r="C31" s="17"/>
      <c r="D31" s="17"/>
      <c r="E31" s="13"/>
      <c r="F31" s="13"/>
      <c r="G31" s="13"/>
      <c r="H31" s="13"/>
      <c r="I31" s="13"/>
      <c r="J31" s="13"/>
    </row>
    <row r="32" spans="1:11" x14ac:dyDescent="0.25">
      <c r="A32" s="16" t="s">
        <v>55</v>
      </c>
      <c r="E32" s="13"/>
      <c r="F32" s="13"/>
      <c r="G32" s="13"/>
      <c r="H32" s="13"/>
      <c r="I32" s="13"/>
      <c r="J32" s="13"/>
    </row>
    <row r="33" spans="1:19" ht="30" customHeight="1" x14ac:dyDescent="0.25">
      <c r="B33" s="360"/>
      <c r="C33" s="361"/>
      <c r="D33" s="361"/>
      <c r="E33" s="362"/>
      <c r="F33" s="13"/>
      <c r="G33" s="13"/>
      <c r="H33" s="13"/>
      <c r="I33" s="13"/>
      <c r="J33" s="13"/>
    </row>
    <row r="34" spans="1:19" ht="17.25" x14ac:dyDescent="0.25">
      <c r="B34" s="3"/>
      <c r="C34" s="3"/>
      <c r="D34" s="3"/>
      <c r="E34" s="13"/>
      <c r="F34" s="13"/>
      <c r="G34" s="13"/>
      <c r="H34" s="13"/>
      <c r="I34" s="13"/>
      <c r="J34" s="13"/>
    </row>
    <row r="35" spans="1:19" x14ac:dyDescent="0.25">
      <c r="A35" s="7" t="s">
        <v>56</v>
      </c>
    </row>
    <row r="37" spans="1:19" ht="54.75" customHeight="1" x14ac:dyDescent="0.25">
      <c r="B37" s="363" t="s">
        <v>95</v>
      </c>
      <c r="C37" s="4" t="s">
        <v>96</v>
      </c>
      <c r="D37" s="4" t="s">
        <v>97</v>
      </c>
      <c r="E37" s="358" t="s">
        <v>98</v>
      </c>
      <c r="F37" s="358"/>
      <c r="G37" s="358"/>
      <c r="H37" s="358" t="s">
        <v>99</v>
      </c>
      <c r="I37" s="358"/>
      <c r="J37" s="358"/>
      <c r="K37" s="358" t="s">
        <v>100</v>
      </c>
      <c r="L37" s="358"/>
      <c r="M37" s="358"/>
      <c r="N37" s="358" t="s">
        <v>101</v>
      </c>
      <c r="O37" s="358"/>
      <c r="P37" s="358"/>
      <c r="Q37" s="359" t="s">
        <v>102</v>
      </c>
      <c r="R37" s="359"/>
      <c r="S37" s="359"/>
    </row>
    <row r="38" spans="1:19" x14ac:dyDescent="0.25">
      <c r="B38" s="363"/>
      <c r="C38" s="4" t="s">
        <v>35</v>
      </c>
      <c r="D38" s="4" t="s">
        <v>36</v>
      </c>
      <c r="E38" s="19" t="s">
        <v>0</v>
      </c>
      <c r="F38" s="19" t="s">
        <v>1</v>
      </c>
      <c r="G38" s="19" t="s">
        <v>3</v>
      </c>
      <c r="H38" s="19" t="s">
        <v>0</v>
      </c>
      <c r="I38" s="19" t="s">
        <v>1</v>
      </c>
      <c r="J38" s="19" t="s">
        <v>3</v>
      </c>
      <c r="K38" s="19" t="s">
        <v>39</v>
      </c>
      <c r="L38" s="19" t="s">
        <v>38</v>
      </c>
      <c r="M38" s="19" t="s">
        <v>37</v>
      </c>
      <c r="N38" s="19" t="s">
        <v>39</v>
      </c>
      <c r="O38" s="19" t="s">
        <v>38</v>
      </c>
      <c r="P38" s="19" t="s">
        <v>37</v>
      </c>
      <c r="Q38" s="26" t="s">
        <v>0</v>
      </c>
      <c r="R38" s="26" t="s">
        <v>1</v>
      </c>
      <c r="S38" s="26" t="s">
        <v>3</v>
      </c>
    </row>
    <row r="39" spans="1:19" ht="46.9" customHeight="1" x14ac:dyDescent="0.25">
      <c r="B39" s="22" t="s">
        <v>338</v>
      </c>
      <c r="C39" s="51">
        <f>+C40</f>
        <v>11672197.789999999</v>
      </c>
      <c r="D39" s="51">
        <v>8032798.5999999996</v>
      </c>
      <c r="E39" s="93"/>
      <c r="F39" s="93"/>
      <c r="G39" s="93"/>
      <c r="H39" s="149">
        <v>-5324556.49</v>
      </c>
      <c r="I39" s="149">
        <v>-8823699.7899999991</v>
      </c>
      <c r="J39" s="149">
        <v>-11155919.689999999</v>
      </c>
      <c r="K39" s="52">
        <f>C39+H39+E39</f>
        <v>6347641.2999999989</v>
      </c>
      <c r="L39" s="52">
        <f>C39+I39+F39</f>
        <v>2848498</v>
      </c>
      <c r="M39" s="52">
        <f>C39+J39+G39</f>
        <v>516278.09999999963</v>
      </c>
      <c r="N39" s="93"/>
      <c r="O39" s="93"/>
      <c r="P39" s="93"/>
      <c r="Q39" s="70">
        <f>K39+N39</f>
        <v>6347641.2999999989</v>
      </c>
      <c r="R39" s="70">
        <f>L39+O39</f>
        <v>2848498</v>
      </c>
      <c r="S39" s="70">
        <f>M39+P39</f>
        <v>516278.09999999963</v>
      </c>
    </row>
    <row r="40" spans="1:19" ht="44.45" customHeight="1" x14ac:dyDescent="0.25">
      <c r="B40" s="18" t="s">
        <v>73</v>
      </c>
      <c r="C40" s="51">
        <v>11672197.789999999</v>
      </c>
      <c r="D40" s="51"/>
      <c r="E40" s="52">
        <f t="shared" ref="E40:J40" si="0">SUM(E39:E39)</f>
        <v>0</v>
      </c>
      <c r="F40" s="52">
        <f t="shared" si="0"/>
        <v>0</v>
      </c>
      <c r="G40" s="52">
        <f t="shared" si="0"/>
        <v>0</v>
      </c>
      <c r="H40" s="52">
        <f t="shared" si="0"/>
        <v>-5324556.49</v>
      </c>
      <c r="I40" s="52">
        <f t="shared" si="0"/>
        <v>-8823699.7899999991</v>
      </c>
      <c r="J40" s="52">
        <f t="shared" si="0"/>
        <v>-11155919.689999999</v>
      </c>
      <c r="K40" s="52">
        <f>C40+E40+H40</f>
        <v>6347641.2999999989</v>
      </c>
      <c r="L40" s="52">
        <f>C40+F40+I40</f>
        <v>2848498</v>
      </c>
      <c r="M40" s="52">
        <f>C40+G40+J40</f>
        <v>516278.09999999963</v>
      </c>
      <c r="N40" s="82" t="s">
        <v>2</v>
      </c>
      <c r="O40" s="82" t="s">
        <v>2</v>
      </c>
      <c r="P40" s="82" t="s">
        <v>2</v>
      </c>
      <c r="Q40" s="70" t="s">
        <v>2</v>
      </c>
      <c r="R40" s="70" t="s">
        <v>2</v>
      </c>
      <c r="S40" s="70" t="s">
        <v>2</v>
      </c>
    </row>
    <row r="41" spans="1:19" ht="46.5" customHeight="1" x14ac:dyDescent="0.25">
      <c r="B41" s="18" t="s">
        <v>60</v>
      </c>
      <c r="C41" s="51"/>
      <c r="D41" s="51"/>
      <c r="E41" s="52" t="s">
        <v>72</v>
      </c>
      <c r="F41" s="52" t="s">
        <v>72</v>
      </c>
      <c r="G41" s="52" t="s">
        <v>72</v>
      </c>
      <c r="H41" s="52" t="s">
        <v>72</v>
      </c>
      <c r="I41" s="52" t="s">
        <v>72</v>
      </c>
      <c r="J41" s="52" t="s">
        <v>72</v>
      </c>
      <c r="K41" s="52">
        <f>C41</f>
        <v>0</v>
      </c>
      <c r="L41" s="52">
        <f>C41</f>
        <v>0</v>
      </c>
      <c r="M41" s="52">
        <f>C41</f>
        <v>0</v>
      </c>
      <c r="N41" s="82" t="s">
        <v>2</v>
      </c>
      <c r="O41" s="82" t="s">
        <v>2</v>
      </c>
      <c r="P41" s="82" t="s">
        <v>2</v>
      </c>
      <c r="Q41" s="70" t="s">
        <v>2</v>
      </c>
      <c r="R41" s="70" t="s">
        <v>2</v>
      </c>
      <c r="S41" s="70" t="s">
        <v>2</v>
      </c>
    </row>
    <row r="42" spans="1:19" s="254" customFormat="1" ht="30" x14ac:dyDescent="0.2">
      <c r="B42" s="250" t="s">
        <v>699</v>
      </c>
      <c r="C42" s="267">
        <f>SUM(C39:C39)</f>
        <v>11672197.789999999</v>
      </c>
      <c r="D42" s="267">
        <f>SUM(D39:D39)</f>
        <v>8032798.5999999996</v>
      </c>
      <c r="E42" s="267">
        <f>E40</f>
        <v>0</v>
      </c>
      <c r="F42" s="267">
        <f t="shared" ref="F42:J42" si="1">F40</f>
        <v>0</v>
      </c>
      <c r="G42" s="267">
        <f t="shared" si="1"/>
        <v>0</v>
      </c>
      <c r="H42" s="267">
        <f t="shared" si="1"/>
        <v>-5324556.49</v>
      </c>
      <c r="I42" s="267">
        <f t="shared" si="1"/>
        <v>-8823699.7899999991</v>
      </c>
      <c r="J42" s="267">
        <f t="shared" si="1"/>
        <v>-11155919.689999999</v>
      </c>
      <c r="K42" s="268">
        <f>K40+K41</f>
        <v>6347641.2999999989</v>
      </c>
      <c r="L42" s="268">
        <f t="shared" ref="L42:M42" si="2">L40+L41</f>
        <v>2848498</v>
      </c>
      <c r="M42" s="268">
        <f t="shared" si="2"/>
        <v>516278.09999999963</v>
      </c>
      <c r="N42" s="268">
        <f>SUM(N39:N39)</f>
        <v>0</v>
      </c>
      <c r="O42" s="268">
        <f>SUM(O39:O39)</f>
        <v>0</v>
      </c>
      <c r="P42" s="268">
        <f>SUM(P39:P39)</f>
        <v>0</v>
      </c>
      <c r="Q42" s="269">
        <f>K42+N42</f>
        <v>6347641.2999999989</v>
      </c>
      <c r="R42" s="269">
        <f>L42+O42</f>
        <v>2848498</v>
      </c>
      <c r="S42" s="269">
        <f>M42+P42</f>
        <v>516278.09999999963</v>
      </c>
    </row>
  </sheetData>
  <mergeCells count="13">
    <mergeCell ref="K21:K22"/>
    <mergeCell ref="B21:B22"/>
    <mergeCell ref="C21:C22"/>
    <mergeCell ref="D21:D22"/>
    <mergeCell ref="E21:E22"/>
    <mergeCell ref="F21:J21"/>
    <mergeCell ref="Q37:S37"/>
    <mergeCell ref="B33:E33"/>
    <mergeCell ref="B37:B38"/>
    <mergeCell ref="E37:G37"/>
    <mergeCell ref="H37:J37"/>
    <mergeCell ref="K37:M37"/>
    <mergeCell ref="N37:P37"/>
  </mergeCells>
  <dataValidations count="4">
    <dataValidation type="custom" allowBlank="1" showInputMessage="1" showErrorMessage="1" sqref="N39:P39" xr:uid="{0533884F-8DDF-4F6C-9CA8-C674033549ED}">
      <formula1>"-"</formula1>
    </dataValidation>
    <dataValidation type="list" allowBlank="1" showInputMessage="1" showErrorMessage="1" sqref="B13" xr:uid="{47254731-2118-46B2-B3E6-8BC053C4CEC9}">
      <formula1>$U$2:$U$4</formula1>
    </dataValidation>
    <dataValidation type="list" allowBlank="1" showInputMessage="1" showErrorMessage="1" sqref="D23" xr:uid="{B2A3AC6E-8FB1-41D2-BC24-A9AA671CB876}">
      <formula1>$V$2:$V$3</formula1>
    </dataValidation>
    <dataValidation showInputMessage="1" showErrorMessage="1" sqref="E23" xr:uid="{46797CFF-CCDF-49FF-A46D-DB2C109F990C}"/>
  </dataValidations>
  <hyperlinks>
    <hyperlink ref="C12" location="_ftn1" display="_ftn1" xr:uid="{F1929C0F-A889-4EBA-9007-CBC1CB356C86}"/>
    <hyperlink ref="D12" location="_ftn2" display="_ftn2" xr:uid="{8E27849F-6016-40DE-BE4E-46DC3BCEA866}"/>
    <hyperlink ref="E12" location="_ftn3" display="_ftn3" xr:uid="{E881F17E-B0D6-4D03-ADCB-346524AE5EFC}"/>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0657" r:id="rId3" name="Check Box 1">
              <controlPr defaultSize="0" autoFill="0" autoLine="0" autoPict="0">
                <anchor moveWithCells="1">
                  <from>
                    <xdr:col>1</xdr:col>
                    <xdr:colOff>85725</xdr:colOff>
                    <xdr:row>29</xdr:row>
                    <xdr:rowOff>0</xdr:rowOff>
                  </from>
                  <to>
                    <xdr:col>2</xdr:col>
                    <xdr:colOff>1828800</xdr:colOff>
                    <xdr:row>30</xdr:row>
                    <xdr:rowOff>38100</xdr:rowOff>
                  </to>
                </anchor>
              </controlPr>
            </control>
          </mc:Choice>
        </mc:AlternateContent>
        <mc:AlternateContent xmlns:mc="http://schemas.openxmlformats.org/markup-compatibility/2006">
          <mc:Choice Requires="x14">
            <control shapeId="70658" r:id="rId4" name="Check Box 2">
              <controlPr defaultSize="0" autoFill="0" autoLine="0" autoPict="0">
                <anchor moveWithCells="1">
                  <from>
                    <xdr:col>1</xdr:col>
                    <xdr:colOff>85725</xdr:colOff>
                    <xdr:row>26</xdr:row>
                    <xdr:rowOff>171450</xdr:rowOff>
                  </from>
                  <to>
                    <xdr:col>2</xdr:col>
                    <xdr:colOff>2581275</xdr:colOff>
                    <xdr:row>28</xdr:row>
                    <xdr:rowOff>47625</xdr:rowOff>
                  </to>
                </anchor>
              </controlPr>
            </control>
          </mc:Choice>
        </mc:AlternateContent>
        <mc:AlternateContent xmlns:mc="http://schemas.openxmlformats.org/markup-compatibility/2006">
          <mc:Choice Requires="x14">
            <control shapeId="70659" r:id="rId5" name="Check Box 3">
              <controlPr defaultSize="0" autoFill="0" autoLine="0" autoPict="0">
                <anchor moveWithCells="1">
                  <from>
                    <xdr:col>1</xdr:col>
                    <xdr:colOff>85725</xdr:colOff>
                    <xdr:row>28</xdr:row>
                    <xdr:rowOff>28575</xdr:rowOff>
                  </from>
                  <to>
                    <xdr:col>2</xdr:col>
                    <xdr:colOff>2581275</xdr:colOff>
                    <xdr:row>29</xdr:row>
                    <xdr:rowOff>9525</xdr:rowOff>
                  </to>
                </anchor>
              </controlPr>
            </control>
          </mc:Choice>
        </mc:AlternateContent>
        <mc:AlternateContent xmlns:mc="http://schemas.openxmlformats.org/markup-compatibility/2006">
          <mc:Choice Requires="x14">
            <control shapeId="70660" r:id="rId6" name="Check Box 4">
              <controlPr defaultSize="0" autoFill="0" autoLine="0" autoPict="0">
                <anchor moveWithCells="1">
                  <from>
                    <xdr:col>1</xdr:col>
                    <xdr:colOff>95250</xdr:colOff>
                    <xdr:row>30</xdr:row>
                    <xdr:rowOff>9525</xdr:rowOff>
                  </from>
                  <to>
                    <xdr:col>2</xdr:col>
                    <xdr:colOff>1228725</xdr:colOff>
                    <xdr:row>31</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689B1-2572-4A0B-93C7-FD3B8C53B994}">
  <dimension ref="A1:W46"/>
  <sheetViews>
    <sheetView topLeftCell="F31" workbookViewId="0">
      <selection activeCell="H45" sqref="H45"/>
    </sheetView>
  </sheetViews>
  <sheetFormatPr defaultRowHeight="15" x14ac:dyDescent="0.25"/>
  <cols>
    <col min="1" max="1" width="6" customWidth="1"/>
    <col min="2" max="2" width="33.140625" customWidth="1"/>
    <col min="3" max="3" width="24.85546875" customWidth="1"/>
    <col min="4" max="4" width="31.5703125" customWidth="1"/>
    <col min="5" max="5" width="40.28515625" customWidth="1"/>
    <col min="6" max="6" width="28.42578125" customWidth="1"/>
    <col min="7" max="7" width="22.28515625" customWidth="1"/>
    <col min="8" max="8" width="15.28515625" customWidth="1"/>
    <col min="9" max="9" width="17.7109375" customWidth="1"/>
    <col min="10" max="10" width="16.42578125" customWidth="1"/>
    <col min="11" max="11" width="36.85546875" customWidth="1"/>
    <col min="12" max="12" width="24.7109375" customWidth="1"/>
    <col min="13" max="13" width="12.5703125" customWidth="1"/>
    <col min="14" max="14" width="9.5703125" customWidth="1"/>
    <col min="15" max="15" width="8.140625" customWidth="1"/>
    <col min="16" max="16" width="8"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1022</v>
      </c>
      <c r="E5" s="25" t="s">
        <v>83</v>
      </c>
      <c r="F5" s="20">
        <v>2017</v>
      </c>
      <c r="H5" s="3"/>
      <c r="I5" s="3"/>
      <c r="J5" s="3"/>
    </row>
    <row r="6" spans="1:23" ht="28.5" x14ac:dyDescent="0.25">
      <c r="B6" s="25" t="s">
        <v>80</v>
      </c>
      <c r="C6" s="29" t="s">
        <v>103</v>
      </c>
      <c r="E6" s="25" t="s">
        <v>84</v>
      </c>
      <c r="F6" s="20"/>
      <c r="H6" s="3"/>
      <c r="I6" s="3"/>
      <c r="J6" s="3"/>
    </row>
    <row r="7" spans="1:23" ht="18" customHeight="1" x14ac:dyDescent="0.25">
      <c r="B7" s="25" t="s">
        <v>81</v>
      </c>
      <c r="C7" s="20">
        <v>12004</v>
      </c>
      <c r="H7" s="3"/>
      <c r="I7" s="3"/>
      <c r="J7" s="3"/>
    </row>
    <row r="8" spans="1:23" ht="76.5" customHeight="1" x14ac:dyDescent="0.25">
      <c r="B8" s="25" t="s">
        <v>82</v>
      </c>
      <c r="C8" s="29" t="s">
        <v>313</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378" x14ac:dyDescent="0.3">
      <c r="B13" s="131" t="s">
        <v>46</v>
      </c>
      <c r="C13" s="132" t="s">
        <v>314</v>
      </c>
      <c r="D13" s="132" t="s">
        <v>315</v>
      </c>
      <c r="E13" s="132" t="s">
        <v>316</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2" ht="15" customHeight="1" x14ac:dyDescent="0.25">
      <c r="B17" s="365" t="s">
        <v>89</v>
      </c>
      <c r="C17" s="365" t="s">
        <v>90</v>
      </c>
      <c r="D17" s="365" t="s">
        <v>91</v>
      </c>
      <c r="E17" s="365" t="s">
        <v>92</v>
      </c>
      <c r="F17" s="364" t="s">
        <v>93</v>
      </c>
      <c r="G17" s="364"/>
      <c r="H17" s="364"/>
      <c r="I17" s="364"/>
      <c r="J17" s="364"/>
      <c r="K17" s="364" t="s">
        <v>94</v>
      </c>
    </row>
    <row r="18" spans="1:12" x14ac:dyDescent="0.25">
      <c r="B18" s="365"/>
      <c r="C18" s="365"/>
      <c r="D18" s="365"/>
      <c r="E18" s="365"/>
      <c r="F18" s="27" t="s">
        <v>51</v>
      </c>
      <c r="G18" s="27" t="s">
        <v>52</v>
      </c>
      <c r="H18" s="27" t="s">
        <v>0</v>
      </c>
      <c r="I18" s="27" t="s">
        <v>1</v>
      </c>
      <c r="J18" s="27" t="s">
        <v>3</v>
      </c>
      <c r="K18" s="364"/>
    </row>
    <row r="19" spans="1:12" ht="57.75" customHeight="1" x14ac:dyDescent="0.25">
      <c r="B19" s="133" t="s">
        <v>317</v>
      </c>
      <c r="C19" s="21" t="s">
        <v>318</v>
      </c>
      <c r="D19" s="21" t="s">
        <v>47</v>
      </c>
      <c r="E19" s="370" t="s">
        <v>319</v>
      </c>
      <c r="F19" s="134">
        <v>135</v>
      </c>
      <c r="G19" s="134">
        <v>50</v>
      </c>
      <c r="H19" s="134">
        <v>50</v>
      </c>
      <c r="I19" s="134">
        <v>50</v>
      </c>
      <c r="J19" s="134">
        <v>50</v>
      </c>
      <c r="K19" s="372" t="s">
        <v>320</v>
      </c>
    </row>
    <row r="20" spans="1:12" ht="51.75" customHeight="1" x14ac:dyDescent="0.25">
      <c r="B20" s="133" t="s">
        <v>321</v>
      </c>
      <c r="C20" s="21" t="s">
        <v>318</v>
      </c>
      <c r="D20" s="21" t="s">
        <v>47</v>
      </c>
      <c r="E20" s="371"/>
      <c r="F20" s="134">
        <v>124</v>
      </c>
      <c r="G20" s="134">
        <v>248</v>
      </c>
      <c r="H20" s="134">
        <v>235</v>
      </c>
      <c r="I20" s="134">
        <v>157</v>
      </c>
      <c r="J20" s="134">
        <v>92</v>
      </c>
      <c r="K20" s="372"/>
      <c r="L20" s="135"/>
    </row>
    <row r="21" spans="1:12" ht="216" customHeight="1" x14ac:dyDescent="0.25">
      <c r="B21" s="133" t="s">
        <v>322</v>
      </c>
      <c r="C21" s="21" t="s">
        <v>323</v>
      </c>
      <c r="D21" s="21" t="s">
        <v>44</v>
      </c>
      <c r="E21" s="54" t="s">
        <v>324</v>
      </c>
      <c r="F21" s="21">
        <v>11</v>
      </c>
      <c r="G21" s="21">
        <v>10</v>
      </c>
      <c r="H21" s="21">
        <v>10</v>
      </c>
      <c r="I21" s="21">
        <v>10</v>
      </c>
      <c r="J21" s="21">
        <v>10</v>
      </c>
      <c r="K21" s="133" t="s">
        <v>325</v>
      </c>
      <c r="L21" s="135"/>
    </row>
    <row r="22" spans="1:12" ht="17.25" x14ac:dyDescent="0.25">
      <c r="B22" s="3"/>
      <c r="C22" s="3"/>
      <c r="D22" s="3"/>
      <c r="E22" s="3"/>
      <c r="F22" s="3"/>
      <c r="G22" s="3"/>
      <c r="I22" s="3"/>
      <c r="J22" s="3"/>
    </row>
    <row r="23" spans="1:12" ht="15.75" x14ac:dyDescent="0.25">
      <c r="A23" s="12" t="s">
        <v>53</v>
      </c>
      <c r="C23" s="13"/>
      <c r="D23" s="13"/>
      <c r="E23" s="13"/>
      <c r="F23" s="13"/>
      <c r="G23" s="13"/>
      <c r="H23" s="13"/>
      <c r="I23" s="13"/>
      <c r="J23" s="13"/>
    </row>
    <row r="24" spans="1:12" x14ac:dyDescent="0.25">
      <c r="A24" s="14"/>
      <c r="C24" s="15"/>
      <c r="D24" s="15"/>
      <c r="E24" s="15"/>
    </row>
    <row r="25" spans="1:12" x14ac:dyDescent="0.25">
      <c r="A25" s="16" t="s">
        <v>54</v>
      </c>
      <c r="C25" s="17"/>
      <c r="D25" s="17"/>
      <c r="E25" s="13"/>
      <c r="F25" s="13"/>
      <c r="G25" s="13"/>
      <c r="H25" s="13"/>
      <c r="I25" s="13"/>
      <c r="J25" s="13"/>
    </row>
    <row r="26" spans="1:12" x14ac:dyDescent="0.25">
      <c r="B26" s="17"/>
      <c r="C26" s="17"/>
      <c r="D26" s="17"/>
      <c r="E26" s="13"/>
      <c r="F26" s="13"/>
      <c r="G26" s="13"/>
      <c r="H26" s="13"/>
      <c r="I26" s="13"/>
      <c r="J26" s="13"/>
    </row>
    <row r="27" spans="1:12" x14ac:dyDescent="0.25">
      <c r="B27" s="17"/>
      <c r="C27" s="17"/>
      <c r="D27" s="17"/>
      <c r="E27" s="13"/>
      <c r="F27" s="13"/>
      <c r="G27" s="13"/>
      <c r="H27" s="13"/>
      <c r="I27" s="13"/>
      <c r="J27" s="13"/>
    </row>
    <row r="28" spans="1:12" x14ac:dyDescent="0.25">
      <c r="B28" s="17"/>
      <c r="C28" s="17"/>
      <c r="D28" s="17"/>
      <c r="E28" s="13"/>
      <c r="F28" s="13"/>
      <c r="G28" s="13"/>
      <c r="H28" s="13"/>
      <c r="I28" s="13"/>
      <c r="J28" s="13"/>
    </row>
    <row r="29" spans="1:12" x14ac:dyDescent="0.25">
      <c r="B29" s="17"/>
      <c r="C29" s="17"/>
      <c r="D29" s="17"/>
      <c r="E29" s="13"/>
      <c r="F29" s="13"/>
      <c r="G29" s="13"/>
      <c r="H29" s="13"/>
      <c r="I29" s="13"/>
      <c r="J29" s="13"/>
    </row>
    <row r="30" spans="1:12" x14ac:dyDescent="0.25">
      <c r="A30" s="16" t="s">
        <v>55</v>
      </c>
      <c r="E30" s="13"/>
      <c r="F30" s="13"/>
      <c r="G30" s="13"/>
      <c r="H30" s="13"/>
      <c r="I30" s="13"/>
      <c r="J30" s="13"/>
    </row>
    <row r="31" spans="1:12" ht="62.25" customHeight="1" x14ac:dyDescent="0.25">
      <c r="B31" s="360"/>
      <c r="C31" s="361"/>
      <c r="D31" s="361"/>
      <c r="E31" s="362"/>
      <c r="F31" s="13"/>
      <c r="G31" s="13"/>
      <c r="H31" s="13"/>
      <c r="I31" s="13"/>
      <c r="J31" s="13"/>
    </row>
    <row r="32" spans="1:12" ht="17.25" x14ac:dyDescent="0.25">
      <c r="B32" s="3"/>
      <c r="C32" s="3"/>
      <c r="D32" s="3"/>
      <c r="E32" s="13"/>
      <c r="F32" s="13"/>
      <c r="G32" s="13"/>
      <c r="H32" s="13"/>
      <c r="I32" s="13"/>
      <c r="J32" s="13"/>
    </row>
    <row r="33" spans="1:19" x14ac:dyDescent="0.25">
      <c r="A33" s="7" t="s">
        <v>56</v>
      </c>
    </row>
    <row r="35" spans="1:19" ht="43.5" customHeight="1" x14ac:dyDescent="0.25">
      <c r="B35" s="363" t="s">
        <v>95</v>
      </c>
      <c r="C35" s="4" t="s">
        <v>96</v>
      </c>
      <c r="D35" s="4" t="s">
        <v>97</v>
      </c>
      <c r="E35" s="358" t="s">
        <v>98</v>
      </c>
      <c r="F35" s="358"/>
      <c r="G35" s="358"/>
      <c r="H35" s="358" t="s">
        <v>99</v>
      </c>
      <c r="I35" s="358"/>
      <c r="J35" s="358"/>
      <c r="K35" s="358" t="s">
        <v>100</v>
      </c>
      <c r="L35" s="358"/>
      <c r="M35" s="358"/>
      <c r="N35" s="358" t="s">
        <v>101</v>
      </c>
      <c r="O35" s="358"/>
      <c r="P35" s="358"/>
      <c r="Q35" s="359" t="s">
        <v>102</v>
      </c>
      <c r="R35" s="359"/>
      <c r="S35" s="359"/>
    </row>
    <row r="36" spans="1:19" ht="30" customHeight="1" x14ac:dyDescent="0.25">
      <c r="B36" s="363"/>
      <c r="C36" s="4" t="s">
        <v>35</v>
      </c>
      <c r="D36" s="4" t="s">
        <v>36</v>
      </c>
      <c r="E36" s="19" t="s">
        <v>0</v>
      </c>
      <c r="F36" s="19" t="s">
        <v>1</v>
      </c>
      <c r="G36" s="19" t="s">
        <v>3</v>
      </c>
      <c r="H36" s="19" t="s">
        <v>0</v>
      </c>
      <c r="I36" s="19" t="s">
        <v>1</v>
      </c>
      <c r="J36" s="19" t="s">
        <v>3</v>
      </c>
      <c r="K36" s="19" t="s">
        <v>39</v>
      </c>
      <c r="L36" s="19" t="s">
        <v>38</v>
      </c>
      <c r="M36" s="19" t="s">
        <v>37</v>
      </c>
      <c r="N36" s="19" t="s">
        <v>39</v>
      </c>
      <c r="O36" s="19" t="s">
        <v>38</v>
      </c>
      <c r="P36" s="19" t="s">
        <v>37</v>
      </c>
      <c r="Q36" s="26" t="s">
        <v>0</v>
      </c>
      <c r="R36" s="26" t="s">
        <v>1</v>
      </c>
      <c r="S36" s="26" t="s">
        <v>3</v>
      </c>
    </row>
    <row r="37" spans="1:19" ht="40.5" x14ac:dyDescent="0.25">
      <c r="B37" s="22" t="s">
        <v>312</v>
      </c>
      <c r="C37" s="179">
        <v>3739180.47</v>
      </c>
      <c r="D37" s="179">
        <v>3495999.7</v>
      </c>
      <c r="E37" s="179">
        <v>-527304.07999999996</v>
      </c>
      <c r="F37" s="179">
        <v>-658333.4</v>
      </c>
      <c r="G37" s="179">
        <v>-203772.1</v>
      </c>
      <c r="H37" s="179">
        <v>1190237.26</v>
      </c>
      <c r="I37" s="179">
        <v>1305245.52</v>
      </c>
      <c r="J37" s="179">
        <v>420361</v>
      </c>
      <c r="K37" s="176">
        <f>C37+E37+H37</f>
        <v>4402113.6500000004</v>
      </c>
      <c r="L37" s="176">
        <f>C37+F37+I37</f>
        <v>4386092.59</v>
      </c>
      <c r="M37" s="176">
        <f>C37+G37+J37</f>
        <v>3955769.37</v>
      </c>
      <c r="N37" s="23"/>
      <c r="O37" s="23"/>
      <c r="P37" s="23"/>
      <c r="Q37" s="26">
        <f>K37+N37</f>
        <v>4402113.6500000004</v>
      </c>
      <c r="R37" s="26">
        <f>L37+O37</f>
        <v>4386092.59</v>
      </c>
      <c r="S37" s="26">
        <f>M37+P37</f>
        <v>3955769.37</v>
      </c>
    </row>
    <row r="38" spans="1:19" ht="28.5" x14ac:dyDescent="0.25">
      <c r="B38" s="18" t="s">
        <v>73</v>
      </c>
      <c r="C38" s="139"/>
      <c r="D38" s="139"/>
      <c r="E38" s="176">
        <f t="shared" ref="E38:H38" si="0">SUM(E37:E37)</f>
        <v>-527304.07999999996</v>
      </c>
      <c r="F38" s="176">
        <f t="shared" si="0"/>
        <v>-658333.4</v>
      </c>
      <c r="G38" s="176">
        <f t="shared" si="0"/>
        <v>-203772.1</v>
      </c>
      <c r="H38" s="176">
        <f t="shared" si="0"/>
        <v>1190237.26</v>
      </c>
      <c r="I38" s="176">
        <f>SUM(I37:I37)</f>
        <v>1305245.52</v>
      </c>
      <c r="J38" s="176">
        <f>SUM(J37:J37)</f>
        <v>420361</v>
      </c>
      <c r="K38" s="176">
        <f>C38+E38+H38</f>
        <v>662933.18000000005</v>
      </c>
      <c r="L38" s="176">
        <f>C38+F38+I38</f>
        <v>646912.12</v>
      </c>
      <c r="M38" s="176">
        <f>C38+G38+J38</f>
        <v>216588.9</v>
      </c>
      <c r="N38" s="4" t="s">
        <v>2</v>
      </c>
      <c r="O38" s="4" t="s">
        <v>2</v>
      </c>
      <c r="P38" s="4" t="s">
        <v>2</v>
      </c>
      <c r="Q38" s="26" t="s">
        <v>2</v>
      </c>
      <c r="R38" s="26" t="s">
        <v>2</v>
      </c>
      <c r="S38" s="26" t="s">
        <v>2</v>
      </c>
    </row>
    <row r="39" spans="1:19" ht="28.5" x14ac:dyDescent="0.25">
      <c r="B39" s="18" t="s">
        <v>60</v>
      </c>
      <c r="C39" s="139"/>
      <c r="D39" s="139"/>
      <c r="E39" s="176" t="s">
        <v>72</v>
      </c>
      <c r="F39" s="176" t="s">
        <v>72</v>
      </c>
      <c r="G39" s="176" t="s">
        <v>72</v>
      </c>
      <c r="H39" s="176" t="s">
        <v>72</v>
      </c>
      <c r="I39" s="176" t="s">
        <v>72</v>
      </c>
      <c r="J39" s="176" t="s">
        <v>72</v>
      </c>
      <c r="K39" s="176">
        <f>C39</f>
        <v>0</v>
      </c>
      <c r="L39" s="176">
        <f>C39</f>
        <v>0</v>
      </c>
      <c r="M39" s="176">
        <f>C39</f>
        <v>0</v>
      </c>
      <c r="N39" s="4" t="s">
        <v>2</v>
      </c>
      <c r="O39" s="4" t="s">
        <v>2</v>
      </c>
      <c r="P39" s="4" t="s">
        <v>2</v>
      </c>
      <c r="Q39" s="26" t="s">
        <v>2</v>
      </c>
      <c r="R39" s="26" t="s">
        <v>2</v>
      </c>
      <c r="S39" s="26" t="s">
        <v>2</v>
      </c>
    </row>
    <row r="40" spans="1:19" s="199" customFormat="1" x14ac:dyDescent="0.25">
      <c r="B40" s="246" t="s">
        <v>698</v>
      </c>
      <c r="C40" s="294">
        <f>SUM(C37:C37)</f>
        <v>3739180.47</v>
      </c>
      <c r="D40" s="294">
        <f>SUM(D37:D37)</f>
        <v>3495999.7</v>
      </c>
      <c r="E40" s="294">
        <f>E38</f>
        <v>-527304.07999999996</v>
      </c>
      <c r="F40" s="294">
        <f t="shared" ref="F40:J40" si="1">F38</f>
        <v>-658333.4</v>
      </c>
      <c r="G40" s="294">
        <f t="shared" si="1"/>
        <v>-203772.1</v>
      </c>
      <c r="H40" s="294">
        <f t="shared" si="1"/>
        <v>1190237.26</v>
      </c>
      <c r="I40" s="294">
        <f t="shared" si="1"/>
        <v>1305245.52</v>
      </c>
      <c r="J40" s="294">
        <f t="shared" si="1"/>
        <v>420361</v>
      </c>
      <c r="K40" s="296">
        <f>+K37</f>
        <v>4402113.6500000004</v>
      </c>
      <c r="L40" s="296">
        <f t="shared" ref="L40:M40" si="2">+L37</f>
        <v>4386092.59</v>
      </c>
      <c r="M40" s="296">
        <f t="shared" si="2"/>
        <v>3955769.37</v>
      </c>
      <c r="N40" s="256">
        <f>SUM(N37:N37)</f>
        <v>0</v>
      </c>
      <c r="O40" s="256">
        <f>SUM(O37:O37)</f>
        <v>0</v>
      </c>
      <c r="P40" s="256">
        <f>SUM(P37:P37)</f>
        <v>0</v>
      </c>
      <c r="Q40" s="276">
        <f>K40+N40</f>
        <v>4402113.6500000004</v>
      </c>
      <c r="R40" s="276">
        <f>L40+O40</f>
        <v>4386092.59</v>
      </c>
      <c r="S40" s="276">
        <f>M40+P40</f>
        <v>3955769.37</v>
      </c>
    </row>
    <row r="42" spans="1:19" x14ac:dyDescent="0.25">
      <c r="K42" s="180"/>
    </row>
    <row r="44" spans="1:19" x14ac:dyDescent="0.25">
      <c r="G44" s="36"/>
      <c r="H44" s="180"/>
    </row>
    <row r="45" spans="1:19" x14ac:dyDescent="0.25">
      <c r="G45" s="36"/>
      <c r="H45" s="180"/>
    </row>
    <row r="46" spans="1:19" x14ac:dyDescent="0.25">
      <c r="G46" s="36"/>
      <c r="H46" s="180"/>
    </row>
  </sheetData>
  <mergeCells count="15">
    <mergeCell ref="N35:P35"/>
    <mergeCell ref="Q35:S35"/>
    <mergeCell ref="E19:E20"/>
    <mergeCell ref="K19:K20"/>
    <mergeCell ref="B31:E31"/>
    <mergeCell ref="B35:B36"/>
    <mergeCell ref="E35:G35"/>
    <mergeCell ref="H35:J35"/>
    <mergeCell ref="K35:M35"/>
    <mergeCell ref="K17:K18"/>
    <mergeCell ref="B17:B18"/>
    <mergeCell ref="C17:C18"/>
    <mergeCell ref="D17:D18"/>
    <mergeCell ref="E17:E18"/>
    <mergeCell ref="F17:J17"/>
  </mergeCells>
  <dataValidations count="4">
    <dataValidation type="custom" allowBlank="1" showInputMessage="1" showErrorMessage="1" sqref="N37:P37" xr:uid="{ED3A592C-46C3-4005-AE62-CEA296C4C588}">
      <formula1>"-"</formula1>
    </dataValidation>
    <dataValidation type="list" allowBlank="1" showInputMessage="1" showErrorMessage="1" sqref="B13" xr:uid="{75F67114-262A-49BE-BC51-90552286FBFD}">
      <formula1>$U$2:$U$4</formula1>
    </dataValidation>
    <dataValidation type="list" allowBlank="1" showInputMessage="1" showErrorMessage="1" sqref="D19:D21" xr:uid="{80EF6E14-6A62-4588-BFF3-267DBAA0BF25}">
      <formula1>$V$2:$V$3</formula1>
    </dataValidation>
    <dataValidation showInputMessage="1" showErrorMessage="1" sqref="E19 E21" xr:uid="{2FE5F575-A160-41E8-88A6-3DD0EA40A316}"/>
  </dataValidations>
  <hyperlinks>
    <hyperlink ref="C12" location="_ftn1" display="_ftn1" xr:uid="{255F9A75-01E0-4EA0-9CB8-568A88897449}"/>
    <hyperlink ref="D12" location="_ftn2" display="_ftn2" xr:uid="{B2C59BC5-3AA5-4969-9E63-320C42DE0D52}"/>
    <hyperlink ref="E12" location="_ftn3" display="_ftn3" xr:uid="{8E401851-B285-4FFD-9262-915A16571C87}"/>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11265" r:id="rId3" name="Check Box 1">
              <controlPr defaultSize="0" autoFill="0" autoLine="0" autoPict="0">
                <anchor moveWithCells="1">
                  <from>
                    <xdr:col>1</xdr:col>
                    <xdr:colOff>85725</xdr:colOff>
                    <xdr:row>27</xdr:row>
                    <xdr:rowOff>0</xdr:rowOff>
                  </from>
                  <to>
                    <xdr:col>2</xdr:col>
                    <xdr:colOff>1171575</xdr:colOff>
                    <xdr:row>28</xdr:row>
                    <xdr:rowOff>38100</xdr:rowOff>
                  </to>
                </anchor>
              </controlPr>
            </control>
          </mc:Choice>
        </mc:AlternateContent>
        <mc:AlternateContent xmlns:mc="http://schemas.openxmlformats.org/markup-compatibility/2006">
          <mc:Choice Requires="x14">
            <control shapeId="11266" r:id="rId4" name="Check Box 2">
              <controlPr defaultSize="0" autoFill="0" autoLine="0" autoPict="0">
                <anchor moveWithCells="1">
                  <from>
                    <xdr:col>1</xdr:col>
                    <xdr:colOff>85725</xdr:colOff>
                    <xdr:row>24</xdr:row>
                    <xdr:rowOff>171450</xdr:rowOff>
                  </from>
                  <to>
                    <xdr:col>3</xdr:col>
                    <xdr:colOff>266700</xdr:colOff>
                    <xdr:row>26</xdr:row>
                    <xdr:rowOff>47625</xdr:rowOff>
                  </to>
                </anchor>
              </controlPr>
            </control>
          </mc:Choice>
        </mc:AlternateContent>
        <mc:AlternateContent xmlns:mc="http://schemas.openxmlformats.org/markup-compatibility/2006">
          <mc:Choice Requires="x14">
            <control shapeId="11267" r:id="rId5" name="Check Box 3">
              <controlPr defaultSize="0" autoFill="0" autoLine="0" autoPict="0">
                <anchor moveWithCells="1">
                  <from>
                    <xdr:col>1</xdr:col>
                    <xdr:colOff>85725</xdr:colOff>
                    <xdr:row>26</xdr:row>
                    <xdr:rowOff>28575</xdr:rowOff>
                  </from>
                  <to>
                    <xdr:col>3</xdr:col>
                    <xdr:colOff>266700</xdr:colOff>
                    <xdr:row>27</xdr:row>
                    <xdr:rowOff>9525</xdr:rowOff>
                  </to>
                </anchor>
              </controlPr>
            </control>
          </mc:Choice>
        </mc:AlternateContent>
        <mc:AlternateContent xmlns:mc="http://schemas.openxmlformats.org/markup-compatibility/2006">
          <mc:Choice Requires="x14">
            <control shapeId="11268" r:id="rId6" name="Check Box 4">
              <controlPr defaultSize="0" autoFill="0" autoLine="0" autoPict="0">
                <anchor moveWithCells="1">
                  <from>
                    <xdr:col>1</xdr:col>
                    <xdr:colOff>95250</xdr:colOff>
                    <xdr:row>28</xdr:row>
                    <xdr:rowOff>9525</xdr:rowOff>
                  </from>
                  <to>
                    <xdr:col>2</xdr:col>
                    <xdr:colOff>571500</xdr:colOff>
                    <xdr:row>29</xdr:row>
                    <xdr:rowOff>9525</xdr:rowOff>
                  </to>
                </anchor>
              </controlPr>
            </control>
          </mc:Choice>
        </mc:AlternateContent>
        <mc:AlternateContent xmlns:mc="http://schemas.openxmlformats.org/markup-compatibility/2006">
          <mc:Choice Requires="x14">
            <control shapeId="11269" r:id="rId7" name="Check Box 5">
              <controlPr defaultSize="0" autoFill="0" autoLine="0" autoPict="0">
                <anchor moveWithCells="1">
                  <from>
                    <xdr:col>1</xdr:col>
                    <xdr:colOff>85725</xdr:colOff>
                    <xdr:row>27</xdr:row>
                    <xdr:rowOff>0</xdr:rowOff>
                  </from>
                  <to>
                    <xdr:col>2</xdr:col>
                    <xdr:colOff>1171575</xdr:colOff>
                    <xdr:row>28</xdr:row>
                    <xdr:rowOff>28575</xdr:rowOff>
                  </to>
                </anchor>
              </controlPr>
            </control>
          </mc:Choice>
        </mc:AlternateContent>
        <mc:AlternateContent xmlns:mc="http://schemas.openxmlformats.org/markup-compatibility/2006">
          <mc:Choice Requires="x14">
            <control shapeId="11270" r:id="rId8" name="Check Box 6">
              <controlPr defaultSize="0" autoFill="0" autoLine="0" autoPict="0">
                <anchor moveWithCells="1">
                  <from>
                    <xdr:col>1</xdr:col>
                    <xdr:colOff>85725</xdr:colOff>
                    <xdr:row>24</xdr:row>
                    <xdr:rowOff>171450</xdr:rowOff>
                  </from>
                  <to>
                    <xdr:col>3</xdr:col>
                    <xdr:colOff>266700</xdr:colOff>
                    <xdr:row>26</xdr:row>
                    <xdr:rowOff>28575</xdr:rowOff>
                  </to>
                </anchor>
              </controlPr>
            </control>
          </mc:Choice>
        </mc:AlternateContent>
        <mc:AlternateContent xmlns:mc="http://schemas.openxmlformats.org/markup-compatibility/2006">
          <mc:Choice Requires="x14">
            <control shapeId="11271" r:id="rId9" name="Check Box 7">
              <controlPr defaultSize="0" autoFill="0" autoLine="0" autoPict="0">
                <anchor moveWithCells="1">
                  <from>
                    <xdr:col>1</xdr:col>
                    <xdr:colOff>85725</xdr:colOff>
                    <xdr:row>26</xdr:row>
                    <xdr:rowOff>28575</xdr:rowOff>
                  </from>
                  <to>
                    <xdr:col>3</xdr:col>
                    <xdr:colOff>266700</xdr:colOff>
                    <xdr:row>27</xdr:row>
                    <xdr:rowOff>0</xdr:rowOff>
                  </to>
                </anchor>
              </controlPr>
            </control>
          </mc:Choice>
        </mc:AlternateContent>
        <mc:AlternateContent xmlns:mc="http://schemas.openxmlformats.org/markup-compatibility/2006">
          <mc:Choice Requires="x14">
            <control shapeId="11272" r:id="rId10" name="Check Box 8">
              <controlPr defaultSize="0" autoFill="0" autoLine="0" autoPict="0">
                <anchor moveWithCells="1">
                  <from>
                    <xdr:col>1</xdr:col>
                    <xdr:colOff>95250</xdr:colOff>
                    <xdr:row>28</xdr:row>
                    <xdr:rowOff>9525</xdr:rowOff>
                  </from>
                  <to>
                    <xdr:col>2</xdr:col>
                    <xdr:colOff>571500</xdr:colOff>
                    <xdr:row>29</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FEC3E-4745-4D9A-9D56-556812B7878E}">
  <dimension ref="A1:W40"/>
  <sheetViews>
    <sheetView topLeftCell="A22" zoomScale="79" zoomScaleNormal="79" workbookViewId="0">
      <selection activeCell="E23" sqref="E23"/>
    </sheetView>
  </sheetViews>
  <sheetFormatPr defaultRowHeight="15" x14ac:dyDescent="0.25"/>
  <cols>
    <col min="1" max="1" width="6" customWidth="1"/>
    <col min="2" max="2" width="33.140625" customWidth="1"/>
    <col min="3" max="3" width="24.85546875" customWidth="1"/>
    <col min="4" max="4" width="31.5703125" customWidth="1"/>
    <col min="5" max="5" width="40.28515625" customWidth="1"/>
    <col min="6" max="6" width="28.42578125" customWidth="1"/>
    <col min="7" max="7" width="22.28515625" customWidth="1"/>
    <col min="8" max="9" width="10.42578125" customWidth="1"/>
    <col min="10" max="10" width="13.85546875" customWidth="1"/>
    <col min="11" max="11" width="18.42578125" bestFit="1" customWidth="1"/>
    <col min="12" max="12" width="14.28515625" customWidth="1"/>
    <col min="13" max="13" width="8.140625" customWidth="1"/>
    <col min="14" max="14" width="9.5703125" customWidth="1"/>
    <col min="15" max="15" width="8.140625" customWidth="1"/>
    <col min="16" max="16" width="8" customWidth="1"/>
    <col min="17" max="18" width="12.7109375" bestFit="1" customWidth="1"/>
    <col min="19" max="19" width="9"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1022</v>
      </c>
      <c r="E5" s="25" t="s">
        <v>83</v>
      </c>
      <c r="F5" s="20">
        <v>2022</v>
      </c>
      <c r="H5" s="3"/>
      <c r="I5" s="3"/>
      <c r="J5" s="3"/>
    </row>
    <row r="6" spans="1:23" ht="36.75" customHeight="1" x14ac:dyDescent="0.25">
      <c r="B6" s="25" t="s">
        <v>80</v>
      </c>
      <c r="C6" s="29" t="s">
        <v>566</v>
      </c>
      <c r="E6" s="25" t="s">
        <v>84</v>
      </c>
      <c r="F6" s="20">
        <v>2025</v>
      </c>
      <c r="H6" s="3"/>
      <c r="I6" s="3"/>
      <c r="J6" s="3"/>
    </row>
    <row r="7" spans="1:23" ht="18" customHeight="1" x14ac:dyDescent="0.25">
      <c r="B7" s="25" t="s">
        <v>81</v>
      </c>
      <c r="C7" s="20">
        <v>12010</v>
      </c>
      <c r="H7" s="3"/>
      <c r="I7" s="3"/>
      <c r="J7" s="3"/>
    </row>
    <row r="8" spans="1:23" ht="70.5" customHeight="1" x14ac:dyDescent="0.25">
      <c r="B8" s="25" t="s">
        <v>82</v>
      </c>
      <c r="C8" s="29" t="s">
        <v>567</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55.5" x14ac:dyDescent="0.25">
      <c r="B12" s="10" t="s">
        <v>85</v>
      </c>
      <c r="C12" s="28" t="s">
        <v>86</v>
      </c>
      <c r="D12" s="28" t="s">
        <v>87</v>
      </c>
      <c r="E12" s="28" t="s">
        <v>88</v>
      </c>
      <c r="F12" s="3"/>
      <c r="G12" s="3"/>
      <c r="H12" s="3"/>
      <c r="I12" s="3"/>
      <c r="J12" s="3"/>
    </row>
    <row r="13" spans="1:23" ht="81.75" x14ac:dyDescent="0.3">
      <c r="B13" s="131" t="s">
        <v>48</v>
      </c>
      <c r="C13" s="133" t="s">
        <v>568</v>
      </c>
      <c r="D13" s="21"/>
      <c r="E13" s="132" t="s">
        <v>569</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1.75" customHeight="1" x14ac:dyDescent="0.25">
      <c r="B17" s="365" t="s">
        <v>89</v>
      </c>
      <c r="C17" s="365" t="s">
        <v>90</v>
      </c>
      <c r="D17" s="365" t="s">
        <v>91</v>
      </c>
      <c r="E17" s="365" t="s">
        <v>92</v>
      </c>
      <c r="F17" s="364" t="s">
        <v>93</v>
      </c>
      <c r="G17" s="364"/>
      <c r="H17" s="364"/>
      <c r="I17" s="364"/>
      <c r="J17" s="364"/>
      <c r="K17" s="364" t="s">
        <v>94</v>
      </c>
    </row>
    <row r="18" spans="1:11" ht="21" customHeight="1" x14ac:dyDescent="0.25">
      <c r="B18" s="365"/>
      <c r="C18" s="365"/>
      <c r="D18" s="365"/>
      <c r="E18" s="365"/>
      <c r="F18" s="27" t="s">
        <v>51</v>
      </c>
      <c r="G18" s="27" t="s">
        <v>52</v>
      </c>
      <c r="H18" s="27" t="s">
        <v>0</v>
      </c>
      <c r="I18" s="27" t="s">
        <v>1</v>
      </c>
      <c r="J18" s="27" t="s">
        <v>3</v>
      </c>
      <c r="K18" s="364"/>
    </row>
    <row r="19" spans="1:11" s="262" customFormat="1" ht="33" customHeight="1" x14ac:dyDescent="0.25">
      <c r="B19" s="31" t="s">
        <v>570</v>
      </c>
      <c r="C19" s="31" t="s">
        <v>571</v>
      </c>
      <c r="D19" s="31" t="s">
        <v>44</v>
      </c>
      <c r="E19" s="31" t="s">
        <v>341</v>
      </c>
      <c r="F19" s="273">
        <v>0</v>
      </c>
      <c r="G19" s="274">
        <v>3500000</v>
      </c>
      <c r="H19" s="273"/>
      <c r="I19" s="31">
        <v>0</v>
      </c>
      <c r="J19" s="31">
        <v>0</v>
      </c>
      <c r="K19" s="31"/>
    </row>
    <row r="20" spans="1:11" s="262" customFormat="1" ht="33" customHeight="1" x14ac:dyDescent="0.25">
      <c r="B20" s="32" t="s">
        <v>572</v>
      </c>
      <c r="C20" s="31" t="s">
        <v>117</v>
      </c>
      <c r="D20" s="31" t="s">
        <v>47</v>
      </c>
      <c r="E20" s="31" t="s">
        <v>341</v>
      </c>
      <c r="F20" s="31">
        <v>0</v>
      </c>
      <c r="G20" s="31">
        <v>5</v>
      </c>
      <c r="H20" s="31"/>
      <c r="I20" s="31">
        <v>0</v>
      </c>
      <c r="J20" s="31">
        <v>0</v>
      </c>
      <c r="K20" s="31"/>
    </row>
    <row r="21" spans="1:11" ht="39.75" customHeight="1" x14ac:dyDescent="0.25"/>
    <row r="22" spans="1:11" ht="17.25" x14ac:dyDescent="0.25">
      <c r="B22" s="3"/>
      <c r="C22" s="3"/>
      <c r="D22" s="3"/>
      <c r="E22" s="3"/>
      <c r="F22" s="3"/>
      <c r="G22" s="3"/>
      <c r="H22" s="3"/>
      <c r="I22" s="3"/>
      <c r="J22" s="3"/>
    </row>
    <row r="23" spans="1:11" ht="15.75" x14ac:dyDescent="0.25">
      <c r="A23" s="12" t="s">
        <v>53</v>
      </c>
      <c r="C23" s="13"/>
      <c r="D23" s="13"/>
      <c r="E23" s="13"/>
      <c r="F23" s="13"/>
      <c r="G23" s="13"/>
      <c r="H23" s="13"/>
      <c r="I23" s="13"/>
      <c r="J23" s="13"/>
    </row>
    <row r="24" spans="1:11" x14ac:dyDescent="0.25">
      <c r="A24" s="14"/>
      <c r="C24" s="15"/>
      <c r="D24" s="15"/>
      <c r="E24" s="15"/>
      <c r="F24" s="15"/>
      <c r="G24" s="15"/>
      <c r="H24" s="15"/>
      <c r="I24" s="15"/>
      <c r="J24" s="15"/>
    </row>
    <row r="25" spans="1:11" x14ac:dyDescent="0.25">
      <c r="A25" s="16" t="s">
        <v>54</v>
      </c>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B29" s="17"/>
      <c r="C29" s="17"/>
      <c r="D29" s="17"/>
      <c r="E29" s="13"/>
      <c r="F29" s="13"/>
      <c r="G29" s="13"/>
      <c r="H29" s="13"/>
      <c r="I29" s="13"/>
      <c r="J29" s="13"/>
    </row>
    <row r="30" spans="1:11" x14ac:dyDescent="0.25">
      <c r="A30" s="16" t="s">
        <v>55</v>
      </c>
      <c r="E30" s="13"/>
      <c r="F30" s="13"/>
      <c r="G30" s="13"/>
      <c r="H30" s="13"/>
      <c r="I30" s="13"/>
      <c r="J30" s="13"/>
    </row>
    <row r="31" spans="1:11" ht="19.149999999999999" customHeight="1" x14ac:dyDescent="0.25">
      <c r="B31" s="360" t="s">
        <v>701</v>
      </c>
      <c r="C31" s="361"/>
      <c r="D31" s="361"/>
      <c r="E31" s="362"/>
      <c r="F31" s="13"/>
      <c r="G31" s="13"/>
      <c r="H31" s="13"/>
      <c r="I31" s="13"/>
      <c r="J31" s="13"/>
    </row>
    <row r="32" spans="1:11" ht="17.25" x14ac:dyDescent="0.25">
      <c r="B32" s="3"/>
      <c r="C32" s="3"/>
      <c r="D32" s="3"/>
      <c r="E32" s="13"/>
      <c r="F32" s="13"/>
      <c r="G32" s="13"/>
      <c r="H32" s="13"/>
      <c r="I32" s="13"/>
      <c r="J32" s="13"/>
    </row>
    <row r="33" spans="1:19" x14ac:dyDescent="0.25">
      <c r="A33" s="7" t="s">
        <v>56</v>
      </c>
    </row>
    <row r="35" spans="1:19" ht="54.75" customHeight="1" x14ac:dyDescent="0.25">
      <c r="B35" s="363" t="s">
        <v>95</v>
      </c>
      <c r="C35" s="4" t="s">
        <v>96</v>
      </c>
      <c r="D35" s="4" t="s">
        <v>97</v>
      </c>
      <c r="E35" s="358" t="s">
        <v>98</v>
      </c>
      <c r="F35" s="358"/>
      <c r="G35" s="358"/>
      <c r="H35" s="358" t="s">
        <v>99</v>
      </c>
      <c r="I35" s="358"/>
      <c r="J35" s="358"/>
      <c r="K35" s="358" t="s">
        <v>100</v>
      </c>
      <c r="L35" s="358"/>
      <c r="M35" s="358"/>
      <c r="N35" s="358" t="s">
        <v>101</v>
      </c>
      <c r="O35" s="358"/>
      <c r="P35" s="358"/>
      <c r="Q35" s="359" t="s">
        <v>102</v>
      </c>
      <c r="R35" s="359"/>
      <c r="S35" s="359"/>
    </row>
    <row r="36" spans="1:19" x14ac:dyDescent="0.25">
      <c r="B36" s="363"/>
      <c r="C36" s="4" t="s">
        <v>35</v>
      </c>
      <c r="D36" s="4" t="s">
        <v>36</v>
      </c>
      <c r="E36" s="19" t="s">
        <v>0</v>
      </c>
      <c r="F36" s="19" t="s">
        <v>1</v>
      </c>
      <c r="G36" s="19" t="s">
        <v>3</v>
      </c>
      <c r="H36" s="19" t="s">
        <v>0</v>
      </c>
      <c r="I36" s="19" t="s">
        <v>1</v>
      </c>
      <c r="J36" s="19" t="s">
        <v>3</v>
      </c>
      <c r="K36" s="19" t="s">
        <v>39</v>
      </c>
      <c r="L36" s="19" t="s">
        <v>38</v>
      </c>
      <c r="M36" s="19" t="s">
        <v>37</v>
      </c>
      <c r="N36" s="19" t="s">
        <v>39</v>
      </c>
      <c r="O36" s="19" t="s">
        <v>38</v>
      </c>
      <c r="P36" s="19" t="s">
        <v>37</v>
      </c>
      <c r="Q36" s="26" t="s">
        <v>0</v>
      </c>
      <c r="R36" s="26" t="s">
        <v>1</v>
      </c>
      <c r="S36" s="26" t="s">
        <v>3</v>
      </c>
    </row>
    <row r="37" spans="1:19" ht="21" customHeight="1" x14ac:dyDescent="0.25">
      <c r="B37" s="51" t="s">
        <v>560</v>
      </c>
      <c r="C37" s="51">
        <v>0</v>
      </c>
      <c r="D37" s="51">
        <v>3500000</v>
      </c>
      <c r="E37" s="93"/>
      <c r="F37" s="93"/>
      <c r="G37" s="93"/>
      <c r="H37" s="93"/>
      <c r="I37" s="93"/>
      <c r="J37" s="93"/>
      <c r="K37" s="52">
        <f>D37+E37+H37</f>
        <v>3500000</v>
      </c>
      <c r="L37" s="52">
        <f>D37+F37+I37</f>
        <v>3500000</v>
      </c>
      <c r="M37" s="52">
        <f t="shared" ref="M37" si="0">F37+G37+J37</f>
        <v>0</v>
      </c>
      <c r="N37" s="93"/>
      <c r="O37" s="93"/>
      <c r="P37" s="93"/>
      <c r="Q37" s="70">
        <f>K37+N37</f>
        <v>3500000</v>
      </c>
      <c r="R37" s="70">
        <f>L37+O37</f>
        <v>3500000</v>
      </c>
      <c r="S37" s="70">
        <f>M37+P37</f>
        <v>0</v>
      </c>
    </row>
    <row r="38" spans="1:19" ht="27" x14ac:dyDescent="0.25">
      <c r="B38" s="270" t="s">
        <v>73</v>
      </c>
      <c r="C38" s="51"/>
      <c r="D38" s="51"/>
      <c r="E38" s="52">
        <f t="shared" ref="E38:J38" si="1">SUM(E37:E37)</f>
        <v>0</v>
      </c>
      <c r="F38" s="52">
        <f t="shared" si="1"/>
        <v>0</v>
      </c>
      <c r="G38" s="52">
        <f t="shared" si="1"/>
        <v>0</v>
      </c>
      <c r="H38" s="52">
        <f t="shared" si="1"/>
        <v>0</v>
      </c>
      <c r="I38" s="52">
        <f t="shared" si="1"/>
        <v>0</v>
      </c>
      <c r="J38" s="52">
        <f t="shared" si="1"/>
        <v>0</v>
      </c>
      <c r="K38" s="52">
        <f>C38+E38+H38</f>
        <v>0</v>
      </c>
      <c r="L38" s="52">
        <f>C38+F38+I38</f>
        <v>0</v>
      </c>
      <c r="M38" s="52">
        <f>C38+G38+J38</f>
        <v>0</v>
      </c>
      <c r="N38" s="82" t="s">
        <v>2</v>
      </c>
      <c r="O38" s="82" t="s">
        <v>2</v>
      </c>
      <c r="P38" s="82" t="s">
        <v>2</v>
      </c>
      <c r="Q38" s="70" t="s">
        <v>2</v>
      </c>
      <c r="R38" s="70" t="s">
        <v>2</v>
      </c>
      <c r="S38" s="70" t="s">
        <v>2</v>
      </c>
    </row>
    <row r="39" spans="1:19" ht="27" x14ac:dyDescent="0.25">
      <c r="B39" s="270" t="s">
        <v>60</v>
      </c>
      <c r="C39" s="51"/>
      <c r="D39" s="51">
        <v>3500000</v>
      </c>
      <c r="E39" s="52" t="s">
        <v>72</v>
      </c>
      <c r="F39" s="52" t="s">
        <v>72</v>
      </c>
      <c r="G39" s="52" t="s">
        <v>72</v>
      </c>
      <c r="H39" s="52" t="s">
        <v>72</v>
      </c>
      <c r="I39" s="52" t="s">
        <v>72</v>
      </c>
      <c r="J39" s="52" t="s">
        <v>72</v>
      </c>
      <c r="K39" s="52">
        <f>+D39</f>
        <v>3500000</v>
      </c>
      <c r="L39" s="52">
        <f>+D39</f>
        <v>3500000</v>
      </c>
      <c r="M39" s="52" t="str">
        <f t="shared" ref="M39" si="2">+F39</f>
        <v>x</v>
      </c>
      <c r="N39" s="82" t="s">
        <v>2</v>
      </c>
      <c r="O39" s="82" t="s">
        <v>2</v>
      </c>
      <c r="P39" s="82" t="s">
        <v>2</v>
      </c>
      <c r="Q39" s="70" t="s">
        <v>2</v>
      </c>
      <c r="R39" s="70" t="s">
        <v>2</v>
      </c>
      <c r="S39" s="70" t="s">
        <v>2</v>
      </c>
    </row>
    <row r="40" spans="1:19" s="199" customFormat="1" x14ac:dyDescent="0.25">
      <c r="B40" s="272" t="s">
        <v>698</v>
      </c>
      <c r="C40" s="259">
        <f>SUM(C37:C37)</f>
        <v>0</v>
      </c>
      <c r="D40" s="259">
        <f>SUM(D37:D37)</f>
        <v>3500000</v>
      </c>
      <c r="E40" s="259">
        <f>E38</f>
        <v>0</v>
      </c>
      <c r="F40" s="259">
        <f t="shared" ref="F40:J40" si="3">F38</f>
        <v>0</v>
      </c>
      <c r="G40" s="259">
        <f t="shared" si="3"/>
        <v>0</v>
      </c>
      <c r="H40" s="259">
        <f t="shared" si="3"/>
        <v>0</v>
      </c>
      <c r="I40" s="259">
        <f t="shared" si="3"/>
        <v>0</v>
      </c>
      <c r="J40" s="259">
        <f t="shared" si="3"/>
        <v>0</v>
      </c>
      <c r="K40" s="260">
        <f>+K39</f>
        <v>3500000</v>
      </c>
      <c r="L40" s="260">
        <f t="shared" ref="L40:M40" si="4">+L39</f>
        <v>3500000</v>
      </c>
      <c r="M40" s="260" t="str">
        <f t="shared" si="4"/>
        <v>x</v>
      </c>
      <c r="N40" s="260">
        <f>SUM(N37:N37)</f>
        <v>0</v>
      </c>
      <c r="O40" s="260">
        <f>SUM(O37:O37)</f>
        <v>0</v>
      </c>
      <c r="P40" s="260">
        <f>SUM(P37:P37)</f>
        <v>0</v>
      </c>
      <c r="Q40" s="263">
        <f>K40+N40</f>
        <v>3500000</v>
      </c>
      <c r="R40" s="263">
        <f>L40+O40</f>
        <v>3500000</v>
      </c>
      <c r="S40" s="263" t="str">
        <f>+M40</f>
        <v>x</v>
      </c>
    </row>
  </sheetData>
  <mergeCells count="13">
    <mergeCell ref="Q35:S35"/>
    <mergeCell ref="B31:E31"/>
    <mergeCell ref="B35:B36"/>
    <mergeCell ref="E35:G35"/>
    <mergeCell ref="H35:J35"/>
    <mergeCell ref="K35:M35"/>
    <mergeCell ref="N35:P35"/>
    <mergeCell ref="K17:K18"/>
    <mergeCell ref="B17:B18"/>
    <mergeCell ref="C17:C18"/>
    <mergeCell ref="D17:D18"/>
    <mergeCell ref="E17:E18"/>
    <mergeCell ref="F17:J17"/>
  </mergeCells>
  <dataValidations count="4">
    <dataValidation type="list" allowBlank="1" showInputMessage="1" showErrorMessage="1" sqref="D19:D20" xr:uid="{2B9A44B2-4894-4388-8E4E-336206D04592}">
      <formula1>$V$2:$V$3</formula1>
    </dataValidation>
    <dataValidation showInputMessage="1" showErrorMessage="1" sqref="E19:E20" xr:uid="{78DCD3DE-E3B9-41E4-B0CC-919712A15EC1}"/>
    <dataValidation type="custom" allowBlank="1" showInputMessage="1" showErrorMessage="1" sqref="N37:P37" xr:uid="{C0550994-F163-4F8B-BE62-26C1EBA1657E}">
      <formula1>"-"</formula1>
    </dataValidation>
    <dataValidation type="list" allowBlank="1" showInputMessage="1" showErrorMessage="1" sqref="B13" xr:uid="{99A7B2FC-C223-498B-957C-C19FB411C714}">
      <formula1>$U$2:$U$4</formula1>
    </dataValidation>
  </dataValidations>
  <hyperlinks>
    <hyperlink ref="C12" location="_ftn1" display="_ftn1" xr:uid="{19580283-8AC8-4862-87BD-0B917B9253D9}"/>
    <hyperlink ref="D12" location="_ftn2" display="_ftn2" xr:uid="{876795A1-4F7B-4936-8E3C-FA65BF61B75D}"/>
    <hyperlink ref="E12" location="_ftn3" display="_ftn3" xr:uid="{55C21110-4788-4258-BB53-863EB655194B}"/>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43009" r:id="rId3" name="Check Box 1">
              <controlPr defaultSize="0" autoFill="0" autoLine="0" autoPict="0">
                <anchor moveWithCells="1">
                  <from>
                    <xdr:col>1</xdr:col>
                    <xdr:colOff>85725</xdr:colOff>
                    <xdr:row>27</xdr:row>
                    <xdr:rowOff>0</xdr:rowOff>
                  </from>
                  <to>
                    <xdr:col>2</xdr:col>
                    <xdr:colOff>1171575</xdr:colOff>
                    <xdr:row>28</xdr:row>
                    <xdr:rowOff>38100</xdr:rowOff>
                  </to>
                </anchor>
              </controlPr>
            </control>
          </mc:Choice>
        </mc:AlternateContent>
        <mc:AlternateContent xmlns:mc="http://schemas.openxmlformats.org/markup-compatibility/2006">
          <mc:Choice Requires="x14">
            <control shapeId="43010" r:id="rId4" name="Check Box 2">
              <controlPr defaultSize="0" autoFill="0" autoLine="0" autoPict="0">
                <anchor moveWithCells="1">
                  <from>
                    <xdr:col>1</xdr:col>
                    <xdr:colOff>85725</xdr:colOff>
                    <xdr:row>24</xdr:row>
                    <xdr:rowOff>171450</xdr:rowOff>
                  </from>
                  <to>
                    <xdr:col>3</xdr:col>
                    <xdr:colOff>266700</xdr:colOff>
                    <xdr:row>26</xdr:row>
                    <xdr:rowOff>47625</xdr:rowOff>
                  </to>
                </anchor>
              </controlPr>
            </control>
          </mc:Choice>
        </mc:AlternateContent>
        <mc:AlternateContent xmlns:mc="http://schemas.openxmlformats.org/markup-compatibility/2006">
          <mc:Choice Requires="x14">
            <control shapeId="43011" r:id="rId5" name="Check Box 3">
              <controlPr defaultSize="0" autoFill="0" autoLine="0" autoPict="0">
                <anchor moveWithCells="1">
                  <from>
                    <xdr:col>1</xdr:col>
                    <xdr:colOff>85725</xdr:colOff>
                    <xdr:row>26</xdr:row>
                    <xdr:rowOff>28575</xdr:rowOff>
                  </from>
                  <to>
                    <xdr:col>3</xdr:col>
                    <xdr:colOff>266700</xdr:colOff>
                    <xdr:row>27</xdr:row>
                    <xdr:rowOff>9525</xdr:rowOff>
                  </to>
                </anchor>
              </controlPr>
            </control>
          </mc:Choice>
        </mc:AlternateContent>
        <mc:AlternateContent xmlns:mc="http://schemas.openxmlformats.org/markup-compatibility/2006">
          <mc:Choice Requires="x14">
            <control shapeId="43012" r:id="rId6" name="Check Box 4">
              <controlPr defaultSize="0" autoFill="0" autoLine="0" autoPict="0">
                <anchor moveWithCells="1">
                  <from>
                    <xdr:col>1</xdr:col>
                    <xdr:colOff>95250</xdr:colOff>
                    <xdr:row>28</xdr:row>
                    <xdr:rowOff>9525</xdr:rowOff>
                  </from>
                  <to>
                    <xdr:col>2</xdr:col>
                    <xdr:colOff>571500</xdr:colOff>
                    <xdr:row>29</xdr:row>
                    <xdr:rowOff>9525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38D80-1AD9-4F57-A435-92D4D36E6B82}">
  <sheetPr>
    <tabColor rgb="FFFFFF00"/>
  </sheetPr>
  <dimension ref="A1:W46"/>
  <sheetViews>
    <sheetView topLeftCell="A31" workbookViewId="0">
      <selection activeCell="F50" sqref="F50"/>
    </sheetView>
  </sheetViews>
  <sheetFormatPr defaultRowHeight="15" x14ac:dyDescent="0.25"/>
  <cols>
    <col min="1" max="1" width="6" customWidth="1"/>
    <col min="2" max="2" width="33.140625" customWidth="1"/>
    <col min="3" max="3" width="24.85546875" customWidth="1"/>
    <col min="4" max="4" width="31.5703125" customWidth="1"/>
    <col min="5" max="5" width="27.140625" customWidth="1"/>
    <col min="6" max="6" width="15.140625" customWidth="1"/>
    <col min="7" max="7" width="14.5703125" customWidth="1"/>
    <col min="8" max="9" width="10.42578125" customWidth="1"/>
    <col min="10" max="10" width="13.85546875" customWidth="1"/>
    <col min="11" max="11" width="18.42578125" bestFit="1" customWidth="1"/>
    <col min="12" max="12" width="12.7109375" customWidth="1"/>
    <col min="13" max="13" width="8.140625" customWidth="1"/>
    <col min="14" max="14" width="9.5703125" customWidth="1"/>
    <col min="15" max="15" width="8.140625" customWidth="1"/>
    <col min="16" max="16" width="8" customWidth="1"/>
    <col min="17" max="18" width="12.42578125" bestFit="1" customWidth="1"/>
    <col min="19" max="19" width="9" bestFit="1" customWidth="1"/>
    <col min="21" max="23" width="9.140625" hidden="1" customWidth="1"/>
  </cols>
  <sheetData>
    <row r="1" spans="1:23" ht="15.75" x14ac:dyDescent="0.25">
      <c r="A1" s="1" t="s">
        <v>71</v>
      </c>
      <c r="C1" s="1"/>
      <c r="D1" s="1"/>
      <c r="E1" s="1"/>
      <c r="F1" s="1"/>
      <c r="G1" s="1"/>
      <c r="H1" s="1"/>
      <c r="I1" s="1"/>
      <c r="J1" s="1"/>
      <c r="U1" s="5" t="s">
        <v>40</v>
      </c>
      <c r="V1" s="5" t="s">
        <v>41</v>
      </c>
      <c r="W1" s="5" t="s">
        <v>42</v>
      </c>
    </row>
    <row r="2" spans="1:23" x14ac:dyDescent="0.25">
      <c r="A2" s="6"/>
      <c r="C2" s="6"/>
      <c r="D2" s="6"/>
      <c r="E2" s="6"/>
      <c r="F2" s="6"/>
      <c r="G2" s="6"/>
      <c r="H2" s="6"/>
      <c r="I2" s="6"/>
      <c r="J2" s="6"/>
      <c r="U2" s="5" t="s">
        <v>43</v>
      </c>
      <c r="V2" s="5" t="s">
        <v>44</v>
      </c>
      <c r="W2" s="5"/>
    </row>
    <row r="3" spans="1:23" ht="15.75" customHeight="1" x14ac:dyDescent="0.25">
      <c r="A3" s="7" t="s">
        <v>45</v>
      </c>
      <c r="C3" s="8"/>
      <c r="D3" s="8"/>
      <c r="E3" s="8"/>
      <c r="F3" s="8"/>
      <c r="G3" s="6"/>
      <c r="H3" s="6"/>
      <c r="I3" s="6"/>
      <c r="J3" s="6"/>
      <c r="U3" s="5" t="s">
        <v>46</v>
      </c>
      <c r="V3" s="5" t="s">
        <v>47</v>
      </c>
      <c r="W3" s="5"/>
    </row>
    <row r="4" spans="1:23" ht="15.75" customHeight="1" x14ac:dyDescent="0.3">
      <c r="B4" s="9"/>
      <c r="C4" s="9"/>
      <c r="D4" s="9"/>
      <c r="E4" s="9"/>
      <c r="F4" s="9"/>
      <c r="G4" s="3"/>
      <c r="H4" s="3"/>
      <c r="I4" s="3"/>
      <c r="J4" s="3"/>
      <c r="U4" s="5" t="s">
        <v>48</v>
      </c>
      <c r="V4" s="5"/>
    </row>
    <row r="5" spans="1:23" ht="18.75" customHeight="1" x14ac:dyDescent="0.25">
      <c r="B5" s="25" t="s">
        <v>79</v>
      </c>
      <c r="C5" s="20">
        <v>1022</v>
      </c>
      <c r="E5" s="25" t="s">
        <v>83</v>
      </c>
      <c r="F5" s="20">
        <v>2021</v>
      </c>
      <c r="H5" s="3"/>
      <c r="I5" s="3"/>
      <c r="J5" s="3"/>
    </row>
    <row r="6" spans="1:23" ht="36.75" customHeight="1" x14ac:dyDescent="0.25">
      <c r="B6" s="25" t="s">
        <v>80</v>
      </c>
      <c r="C6" s="29" t="s">
        <v>533</v>
      </c>
      <c r="E6" s="25" t="s">
        <v>84</v>
      </c>
      <c r="F6" s="20">
        <v>2026</v>
      </c>
      <c r="H6" s="3"/>
      <c r="I6" s="3"/>
      <c r="J6" s="3"/>
    </row>
    <row r="7" spans="1:23" ht="18" customHeight="1" x14ac:dyDescent="0.25">
      <c r="B7" s="25" t="s">
        <v>81</v>
      </c>
      <c r="C7" s="20">
        <v>12011</v>
      </c>
      <c r="H7" s="3"/>
      <c r="I7" s="3"/>
      <c r="J7" s="3"/>
    </row>
    <row r="8" spans="1:23" ht="102" customHeight="1" x14ac:dyDescent="0.25">
      <c r="B8" s="25" t="s">
        <v>82</v>
      </c>
      <c r="C8" s="29" t="s">
        <v>534</v>
      </c>
      <c r="H8" s="3"/>
      <c r="I8" s="3"/>
      <c r="J8" s="3"/>
    </row>
    <row r="9" spans="1:23" ht="17.25" x14ac:dyDescent="0.25">
      <c r="B9" s="6"/>
      <c r="C9" s="6"/>
      <c r="D9" s="6"/>
      <c r="E9" s="6"/>
      <c r="F9" s="3"/>
      <c r="G9" s="3"/>
      <c r="H9" s="3"/>
      <c r="I9" s="3"/>
      <c r="J9" s="3"/>
    </row>
    <row r="10" spans="1:23" ht="15.75" customHeight="1" x14ac:dyDescent="0.25">
      <c r="A10" s="7" t="s">
        <v>49</v>
      </c>
      <c r="C10" s="3"/>
      <c r="D10" s="3"/>
      <c r="E10" s="3"/>
      <c r="F10" s="3"/>
      <c r="G10" s="3"/>
      <c r="H10" s="3"/>
      <c r="I10" s="3"/>
      <c r="J10" s="3"/>
    </row>
    <row r="11" spans="1:23" ht="17.25" x14ac:dyDescent="0.25">
      <c r="B11" s="3"/>
      <c r="C11" s="3"/>
      <c r="D11" s="3"/>
      <c r="E11" s="3"/>
      <c r="F11" s="3"/>
      <c r="G11" s="3"/>
      <c r="H11" s="3"/>
      <c r="I11" s="3"/>
      <c r="J11" s="3"/>
    </row>
    <row r="12" spans="1:23" ht="69" x14ac:dyDescent="0.25">
      <c r="B12" s="10" t="s">
        <v>85</v>
      </c>
      <c r="C12" s="28" t="s">
        <v>86</v>
      </c>
      <c r="D12" s="28" t="s">
        <v>87</v>
      </c>
      <c r="E12" s="28" t="s">
        <v>88</v>
      </c>
      <c r="F12" s="3"/>
      <c r="G12" s="3"/>
      <c r="H12" s="3"/>
      <c r="I12" s="3"/>
      <c r="J12" s="3"/>
    </row>
    <row r="13" spans="1:23" ht="135.75" x14ac:dyDescent="0.3">
      <c r="B13" s="131" t="s">
        <v>48</v>
      </c>
      <c r="C13" s="133" t="s">
        <v>788</v>
      </c>
      <c r="D13" s="21"/>
      <c r="E13" s="132" t="s">
        <v>536</v>
      </c>
      <c r="F13" s="9"/>
      <c r="G13" s="3"/>
      <c r="H13" s="3"/>
      <c r="I13" s="3"/>
      <c r="J13" s="9"/>
    </row>
    <row r="14" spans="1:23" ht="17.25" x14ac:dyDescent="0.3">
      <c r="B14" s="11"/>
      <c r="C14" s="11"/>
      <c r="D14" s="11"/>
      <c r="E14" s="11"/>
      <c r="F14" s="3"/>
      <c r="G14" s="3"/>
      <c r="H14" s="3"/>
      <c r="I14" s="3"/>
      <c r="J14" s="9"/>
    </row>
    <row r="15" spans="1:23" ht="17.25" x14ac:dyDescent="0.3">
      <c r="A15" s="7" t="s">
        <v>50</v>
      </c>
      <c r="C15" s="3"/>
      <c r="D15" s="3"/>
      <c r="E15" s="3"/>
      <c r="F15" s="3"/>
      <c r="G15" s="3"/>
      <c r="H15" s="3"/>
      <c r="I15" s="3"/>
      <c r="J15" s="9"/>
    </row>
    <row r="16" spans="1:23" ht="17.25" x14ac:dyDescent="0.3">
      <c r="B16" s="11"/>
      <c r="C16" s="3"/>
      <c r="D16" s="3"/>
      <c r="E16" s="3"/>
      <c r="F16" s="3"/>
      <c r="G16" s="3"/>
      <c r="H16" s="3"/>
      <c r="I16" s="3"/>
      <c r="J16" s="9"/>
    </row>
    <row r="17" spans="1:11" ht="21.75" customHeight="1" x14ac:dyDescent="0.25">
      <c r="B17" s="365" t="s">
        <v>89</v>
      </c>
      <c r="C17" s="365" t="s">
        <v>90</v>
      </c>
      <c r="D17" s="365" t="s">
        <v>91</v>
      </c>
      <c r="E17" s="365" t="s">
        <v>92</v>
      </c>
      <c r="F17" s="364" t="s">
        <v>93</v>
      </c>
      <c r="G17" s="364"/>
      <c r="H17" s="364"/>
      <c r="I17" s="364"/>
      <c r="J17" s="364"/>
      <c r="K17" s="364" t="s">
        <v>94</v>
      </c>
    </row>
    <row r="18" spans="1:11" ht="39.6" customHeight="1" x14ac:dyDescent="0.25">
      <c r="B18" s="365"/>
      <c r="C18" s="365"/>
      <c r="D18" s="365"/>
      <c r="E18" s="365"/>
      <c r="F18" s="27" t="s">
        <v>51</v>
      </c>
      <c r="G18" s="27" t="s">
        <v>52</v>
      </c>
      <c r="H18" s="27" t="s">
        <v>0</v>
      </c>
      <c r="I18" s="27" t="s">
        <v>1</v>
      </c>
      <c r="J18" s="27" t="s">
        <v>3</v>
      </c>
      <c r="K18" s="364"/>
    </row>
    <row r="19" spans="1:11" s="262" customFormat="1" ht="49.5" customHeight="1" x14ac:dyDescent="0.25">
      <c r="B19" s="32" t="s">
        <v>537</v>
      </c>
      <c r="C19" s="31" t="s">
        <v>376</v>
      </c>
      <c r="D19" s="31" t="s">
        <v>47</v>
      </c>
      <c r="E19" s="31" t="s">
        <v>341</v>
      </c>
      <c r="F19" s="273">
        <v>0</v>
      </c>
      <c r="G19" s="31">
        <v>1000</v>
      </c>
      <c r="H19" s="31">
        <v>1000</v>
      </c>
      <c r="I19" s="31">
        <v>1000</v>
      </c>
      <c r="J19" s="273"/>
      <c r="K19" s="31"/>
    </row>
    <row r="20" spans="1:11" ht="39.75" customHeight="1" x14ac:dyDescent="0.25"/>
    <row r="21" spans="1:11" ht="17.25" x14ac:dyDescent="0.25">
      <c r="B21" s="3"/>
      <c r="C21" s="3"/>
      <c r="D21" s="3"/>
      <c r="E21" s="3"/>
      <c r="F21" s="3"/>
      <c r="G21" s="3"/>
      <c r="H21" s="3"/>
      <c r="I21" s="3"/>
      <c r="J21" s="3"/>
    </row>
    <row r="22" spans="1:11" ht="15.75" x14ac:dyDescent="0.25">
      <c r="A22" s="12" t="s">
        <v>53</v>
      </c>
      <c r="C22" s="13"/>
      <c r="D22" s="13"/>
      <c r="E22" s="13"/>
      <c r="F22" s="13"/>
      <c r="G22" s="13"/>
      <c r="H22" s="13"/>
      <c r="I22" s="13"/>
      <c r="J22" s="13"/>
    </row>
    <row r="23" spans="1:11" x14ac:dyDescent="0.25">
      <c r="A23" s="14"/>
      <c r="C23" s="15"/>
      <c r="D23" s="15"/>
      <c r="E23" s="15"/>
      <c r="F23" s="15"/>
      <c r="G23" s="15"/>
      <c r="H23" s="15"/>
      <c r="I23" s="15"/>
      <c r="J23" s="15"/>
    </row>
    <row r="24" spans="1:11" x14ac:dyDescent="0.25">
      <c r="A24" s="16" t="s">
        <v>54</v>
      </c>
      <c r="C24" s="17"/>
      <c r="D24" s="17"/>
      <c r="E24" s="13"/>
      <c r="F24" s="13"/>
      <c r="G24" s="13"/>
      <c r="H24" s="13"/>
      <c r="I24" s="13"/>
      <c r="J24" s="13"/>
    </row>
    <row r="25" spans="1:11" x14ac:dyDescent="0.25">
      <c r="B25" s="17"/>
      <c r="C25" s="17"/>
      <c r="D25" s="17"/>
      <c r="E25" s="13"/>
      <c r="F25" s="13"/>
      <c r="G25" s="13"/>
      <c r="H25" s="13"/>
      <c r="I25" s="13"/>
      <c r="J25" s="13"/>
    </row>
    <row r="26" spans="1:11" x14ac:dyDescent="0.25">
      <c r="B26" s="17"/>
      <c r="C26" s="17"/>
      <c r="D26" s="17"/>
      <c r="E26" s="13"/>
      <c r="F26" s="13"/>
      <c r="G26" s="13"/>
      <c r="H26" s="13"/>
      <c r="I26" s="13"/>
      <c r="J26" s="13"/>
    </row>
    <row r="27" spans="1:11" x14ac:dyDescent="0.25">
      <c r="B27" s="17"/>
      <c r="C27" s="17"/>
      <c r="D27" s="17"/>
      <c r="E27" s="13"/>
      <c r="F27" s="13"/>
      <c r="G27" s="13"/>
      <c r="H27" s="13"/>
      <c r="I27" s="13"/>
      <c r="J27" s="13"/>
    </row>
    <row r="28" spans="1:11" x14ac:dyDescent="0.25">
      <c r="B28" s="17"/>
      <c r="C28" s="17"/>
      <c r="D28" s="17"/>
      <c r="E28" s="13"/>
      <c r="F28" s="13"/>
      <c r="G28" s="13"/>
      <c r="H28" s="13"/>
      <c r="I28" s="13"/>
      <c r="J28" s="13"/>
    </row>
    <row r="29" spans="1:11" x14ac:dyDescent="0.25">
      <c r="A29" s="16" t="s">
        <v>55</v>
      </c>
      <c r="E29" s="13"/>
      <c r="F29" s="13"/>
      <c r="G29" s="13"/>
      <c r="H29" s="13"/>
      <c r="I29" s="13"/>
      <c r="J29" s="13"/>
    </row>
    <row r="30" spans="1:11" ht="37.15" customHeight="1" x14ac:dyDescent="0.25">
      <c r="B30" s="360" t="s">
        <v>701</v>
      </c>
      <c r="C30" s="361"/>
      <c r="D30" s="361"/>
      <c r="E30" s="362"/>
      <c r="F30" s="13"/>
      <c r="G30" s="13"/>
      <c r="H30" s="13"/>
      <c r="I30" s="13"/>
      <c r="J30" s="13"/>
    </row>
    <row r="31" spans="1:11" ht="17.25" x14ac:dyDescent="0.25">
      <c r="B31" s="3"/>
      <c r="C31" s="3"/>
      <c r="D31" s="3"/>
      <c r="E31" s="13"/>
      <c r="F31" s="13"/>
      <c r="G31" s="13"/>
      <c r="H31" s="13"/>
      <c r="I31" s="13"/>
      <c r="J31" s="13"/>
    </row>
    <row r="32" spans="1:11" x14ac:dyDescent="0.25">
      <c r="A32" s="7" t="s">
        <v>56</v>
      </c>
    </row>
    <row r="34" spans="2:19" ht="43.5" customHeight="1" x14ac:dyDescent="0.25">
      <c r="B34" s="363" t="s">
        <v>95</v>
      </c>
      <c r="C34" s="4" t="s">
        <v>96</v>
      </c>
      <c r="D34" s="4" t="s">
        <v>97</v>
      </c>
      <c r="E34" s="358" t="s">
        <v>98</v>
      </c>
      <c r="F34" s="358"/>
      <c r="G34" s="358"/>
      <c r="H34" s="358" t="s">
        <v>99</v>
      </c>
      <c r="I34" s="358"/>
      <c r="J34" s="358"/>
      <c r="K34" s="358" t="s">
        <v>100</v>
      </c>
      <c r="L34" s="358"/>
      <c r="M34" s="358"/>
      <c r="N34" s="358" t="s">
        <v>101</v>
      </c>
      <c r="O34" s="358"/>
      <c r="P34" s="358"/>
      <c r="Q34" s="359" t="s">
        <v>102</v>
      </c>
      <c r="R34" s="359"/>
      <c r="S34" s="359"/>
    </row>
    <row r="35" spans="2:19" ht="30" customHeight="1" x14ac:dyDescent="0.25">
      <c r="B35" s="363"/>
      <c r="C35" s="4" t="s">
        <v>35</v>
      </c>
      <c r="D35" s="4" t="s">
        <v>36</v>
      </c>
      <c r="E35" s="19" t="s">
        <v>0</v>
      </c>
      <c r="F35" s="19" t="s">
        <v>1</v>
      </c>
      <c r="G35" s="19" t="s">
        <v>3</v>
      </c>
      <c r="H35" s="19" t="s">
        <v>0</v>
      </c>
      <c r="I35" s="19" t="s">
        <v>1</v>
      </c>
      <c r="J35" s="19" t="s">
        <v>3</v>
      </c>
      <c r="K35" s="19" t="s">
        <v>39</v>
      </c>
      <c r="L35" s="19" t="s">
        <v>38</v>
      </c>
      <c r="M35" s="19" t="s">
        <v>37</v>
      </c>
      <c r="N35" s="19" t="s">
        <v>39</v>
      </c>
      <c r="O35" s="19" t="s">
        <v>38</v>
      </c>
      <c r="P35" s="19" t="s">
        <v>37</v>
      </c>
      <c r="Q35" s="26" t="s">
        <v>0</v>
      </c>
      <c r="R35" s="26" t="s">
        <v>1</v>
      </c>
      <c r="S35" s="26" t="s">
        <v>3</v>
      </c>
    </row>
    <row r="36" spans="2:19" ht="41.45" customHeight="1" x14ac:dyDescent="0.25">
      <c r="B36" s="22" t="s">
        <v>538</v>
      </c>
      <c r="C36" s="51">
        <v>0</v>
      </c>
      <c r="D36" s="51">
        <v>150000</v>
      </c>
      <c r="E36" s="93"/>
      <c r="F36" s="93"/>
      <c r="G36" s="93"/>
      <c r="H36" s="93"/>
      <c r="I36" s="93"/>
      <c r="J36" s="93"/>
      <c r="K36" s="52">
        <f>C36+D36+H36</f>
        <v>150000</v>
      </c>
      <c r="L36" s="52">
        <f>C36+F36+I36</f>
        <v>0</v>
      </c>
      <c r="M36" s="52">
        <f>C36+G36+J36</f>
        <v>0</v>
      </c>
      <c r="N36" s="93"/>
      <c r="O36" s="93"/>
      <c r="P36" s="93"/>
      <c r="Q36" s="70">
        <f>K36+N36</f>
        <v>150000</v>
      </c>
      <c r="R36" s="70">
        <f>L36+O36</f>
        <v>0</v>
      </c>
      <c r="S36" s="70">
        <f>M36+P36</f>
        <v>0</v>
      </c>
    </row>
    <row r="37" spans="2:19" ht="36" customHeight="1" x14ac:dyDescent="0.25">
      <c r="B37" s="22" t="s">
        <v>539</v>
      </c>
      <c r="C37" s="51">
        <v>0</v>
      </c>
      <c r="D37" s="51">
        <v>50000</v>
      </c>
      <c r="E37" s="93"/>
      <c r="F37" s="93"/>
      <c r="G37" s="93"/>
      <c r="H37" s="93"/>
      <c r="I37" s="93"/>
      <c r="J37" s="93"/>
      <c r="K37" s="52">
        <f t="shared" ref="K37:K43" si="0">C37+D37+H37</f>
        <v>50000</v>
      </c>
      <c r="L37" s="52"/>
      <c r="M37" s="52"/>
      <c r="N37" s="93"/>
      <c r="O37" s="93"/>
      <c r="P37" s="93"/>
      <c r="Q37" s="70">
        <f t="shared" ref="Q37:Q43" si="1">K37+N37</f>
        <v>50000</v>
      </c>
      <c r="R37" s="70"/>
      <c r="S37" s="70"/>
    </row>
    <row r="38" spans="2:19" ht="36" customHeight="1" x14ac:dyDescent="0.25">
      <c r="B38" s="22" t="s">
        <v>540</v>
      </c>
      <c r="C38" s="51">
        <v>0</v>
      </c>
      <c r="D38" s="51">
        <v>37500</v>
      </c>
      <c r="E38" s="93"/>
      <c r="F38" s="93"/>
      <c r="G38" s="93"/>
      <c r="H38" s="93"/>
      <c r="I38" s="93"/>
      <c r="J38" s="93"/>
      <c r="K38" s="52">
        <f t="shared" si="0"/>
        <v>37500</v>
      </c>
      <c r="L38" s="52"/>
      <c r="M38" s="52"/>
      <c r="N38" s="93"/>
      <c r="O38" s="93"/>
      <c r="P38" s="93"/>
      <c r="Q38" s="70">
        <f t="shared" si="1"/>
        <v>37500</v>
      </c>
      <c r="R38" s="70"/>
      <c r="S38" s="70"/>
    </row>
    <row r="39" spans="2:19" ht="36" customHeight="1" x14ac:dyDescent="0.25">
      <c r="B39" s="22" t="s">
        <v>541</v>
      </c>
      <c r="C39" s="51">
        <v>0</v>
      </c>
      <c r="D39" s="51">
        <v>10000</v>
      </c>
      <c r="E39" s="93"/>
      <c r="F39" s="93"/>
      <c r="G39" s="93"/>
      <c r="H39" s="93"/>
      <c r="I39" s="93"/>
      <c r="J39" s="93"/>
      <c r="K39" s="52">
        <f t="shared" si="0"/>
        <v>10000</v>
      </c>
      <c r="L39" s="52"/>
      <c r="M39" s="52"/>
      <c r="N39" s="93"/>
      <c r="O39" s="93"/>
      <c r="P39" s="93"/>
      <c r="Q39" s="70">
        <f t="shared" si="1"/>
        <v>10000</v>
      </c>
      <c r="R39" s="70"/>
      <c r="S39" s="70"/>
    </row>
    <row r="40" spans="2:19" ht="36" customHeight="1" x14ac:dyDescent="0.25">
      <c r="B40" s="22" t="s">
        <v>542</v>
      </c>
      <c r="C40" s="51">
        <v>0</v>
      </c>
      <c r="D40" s="51">
        <v>75000</v>
      </c>
      <c r="E40" s="93"/>
      <c r="F40" s="93"/>
      <c r="G40" s="93"/>
      <c r="H40" s="93"/>
      <c r="I40" s="93"/>
      <c r="J40" s="93"/>
      <c r="K40" s="52">
        <f t="shared" si="0"/>
        <v>75000</v>
      </c>
      <c r="L40" s="52"/>
      <c r="M40" s="52"/>
      <c r="N40" s="93"/>
      <c r="O40" s="93"/>
      <c r="P40" s="93"/>
      <c r="Q40" s="70">
        <f t="shared" si="1"/>
        <v>75000</v>
      </c>
      <c r="R40" s="70"/>
      <c r="S40" s="70"/>
    </row>
    <row r="41" spans="2:19" ht="36" customHeight="1" x14ac:dyDescent="0.25">
      <c r="B41" s="22" t="s">
        <v>543</v>
      </c>
      <c r="C41" s="51">
        <v>0</v>
      </c>
      <c r="D41" s="51">
        <v>25000</v>
      </c>
      <c r="E41" s="93"/>
      <c r="F41" s="93"/>
      <c r="G41" s="93"/>
      <c r="H41" s="93"/>
      <c r="I41" s="93"/>
      <c r="J41" s="93"/>
      <c r="K41" s="52">
        <f t="shared" si="0"/>
        <v>25000</v>
      </c>
      <c r="L41" s="52"/>
      <c r="M41" s="52"/>
      <c r="N41" s="93"/>
      <c r="O41" s="93"/>
      <c r="P41" s="93"/>
      <c r="Q41" s="70">
        <f t="shared" si="1"/>
        <v>25000</v>
      </c>
      <c r="R41" s="70"/>
      <c r="S41" s="70"/>
    </row>
    <row r="42" spans="2:19" ht="43.5" customHeight="1" x14ac:dyDescent="0.25">
      <c r="B42" s="22" t="s">
        <v>544</v>
      </c>
      <c r="C42" s="51">
        <v>0</v>
      </c>
      <c r="D42" s="51">
        <v>32500</v>
      </c>
      <c r="E42" s="93"/>
      <c r="F42" s="93"/>
      <c r="G42" s="93"/>
      <c r="H42" s="93"/>
      <c r="I42" s="93"/>
      <c r="J42" s="93"/>
      <c r="K42" s="52">
        <f t="shared" si="0"/>
        <v>32500</v>
      </c>
      <c r="L42" s="52"/>
      <c r="M42" s="52"/>
      <c r="N42" s="93"/>
      <c r="O42" s="93"/>
      <c r="P42" s="93"/>
      <c r="Q42" s="70">
        <f t="shared" si="1"/>
        <v>32500</v>
      </c>
      <c r="R42" s="70"/>
      <c r="S42" s="70"/>
    </row>
    <row r="43" spans="2:19" ht="36" customHeight="1" x14ac:dyDescent="0.25">
      <c r="B43" s="22" t="s">
        <v>545</v>
      </c>
      <c r="C43" s="51">
        <v>0</v>
      </c>
      <c r="D43" s="51">
        <v>1000000</v>
      </c>
      <c r="E43" s="93"/>
      <c r="F43" s="93"/>
      <c r="G43" s="93"/>
      <c r="H43" s="93"/>
      <c r="I43" s="93"/>
      <c r="J43" s="93"/>
      <c r="K43" s="52">
        <f t="shared" si="0"/>
        <v>1000000</v>
      </c>
      <c r="L43" s="52"/>
      <c r="M43" s="52"/>
      <c r="N43" s="93"/>
      <c r="O43" s="93"/>
      <c r="P43" s="93"/>
      <c r="Q43" s="70">
        <f t="shared" si="1"/>
        <v>1000000</v>
      </c>
      <c r="R43" s="70"/>
      <c r="S43" s="70"/>
    </row>
    <row r="44" spans="2:19" ht="28.5" x14ac:dyDescent="0.25">
      <c r="B44" s="18" t="s">
        <v>73</v>
      </c>
      <c r="C44" s="51"/>
      <c r="D44" s="51"/>
      <c r="E44" s="52">
        <f t="shared" ref="E44:J44" si="2">SUM(E36:E43)</f>
        <v>0</v>
      </c>
      <c r="F44" s="52">
        <f t="shared" si="2"/>
        <v>0</v>
      </c>
      <c r="G44" s="52">
        <f t="shared" si="2"/>
        <v>0</v>
      </c>
      <c r="H44" s="52">
        <f t="shared" si="2"/>
        <v>0</v>
      </c>
      <c r="I44" s="52">
        <f t="shared" si="2"/>
        <v>0</v>
      </c>
      <c r="J44" s="52">
        <f t="shared" si="2"/>
        <v>0</v>
      </c>
      <c r="K44" s="52">
        <f>C44+E44+H44</f>
        <v>0</v>
      </c>
      <c r="L44" s="52">
        <f>C44+F44+I44</f>
        <v>0</v>
      </c>
      <c r="M44" s="52">
        <f>C44+G44+J44</f>
        <v>0</v>
      </c>
      <c r="N44" s="82" t="s">
        <v>2</v>
      </c>
      <c r="O44" s="82" t="s">
        <v>2</v>
      </c>
      <c r="P44" s="82" t="s">
        <v>2</v>
      </c>
      <c r="Q44" s="70" t="s">
        <v>2</v>
      </c>
      <c r="R44" s="70" t="s">
        <v>2</v>
      </c>
      <c r="S44" s="70" t="s">
        <v>2</v>
      </c>
    </row>
    <row r="45" spans="2:19" ht="28.5" x14ac:dyDescent="0.25">
      <c r="B45" s="18" t="s">
        <v>60</v>
      </c>
      <c r="C45" s="51">
        <f>+C36+C37+C38+C39+C40+C41+C42+C43</f>
        <v>0</v>
      </c>
      <c r="D45" s="51">
        <f>+D36+D37+D38+D39+D40+D41+D42+D43</f>
        <v>1380000</v>
      </c>
      <c r="E45" s="52" t="s">
        <v>72</v>
      </c>
      <c r="F45" s="52" t="s">
        <v>72</v>
      </c>
      <c r="G45" s="52" t="s">
        <v>72</v>
      </c>
      <c r="H45" s="52" t="s">
        <v>72</v>
      </c>
      <c r="I45" s="52" t="s">
        <v>72</v>
      </c>
      <c r="J45" s="52" t="s">
        <v>72</v>
      </c>
      <c r="K45" s="52">
        <f>+D45</f>
        <v>1380000</v>
      </c>
      <c r="L45" s="52">
        <f>+D45</f>
        <v>1380000</v>
      </c>
      <c r="M45" s="52">
        <f>C45</f>
        <v>0</v>
      </c>
      <c r="N45" s="82" t="s">
        <v>2</v>
      </c>
      <c r="O45" s="82" t="s">
        <v>2</v>
      </c>
      <c r="P45" s="82" t="s">
        <v>2</v>
      </c>
      <c r="Q45" s="70" t="s">
        <v>2</v>
      </c>
      <c r="R45" s="70" t="s">
        <v>2</v>
      </c>
      <c r="S45" s="70" t="s">
        <v>2</v>
      </c>
    </row>
    <row r="46" spans="2:19" s="199" customFormat="1" ht="24.6" customHeight="1" x14ac:dyDescent="0.25">
      <c r="B46" s="246" t="s">
        <v>698</v>
      </c>
      <c r="C46" s="259">
        <f>SUM(C36:C43)</f>
        <v>0</v>
      </c>
      <c r="D46" s="259">
        <f>SUM(D36:D43)</f>
        <v>1380000</v>
      </c>
      <c r="E46" s="259">
        <f>E44</f>
        <v>0</v>
      </c>
      <c r="F46" s="259">
        <f t="shared" ref="F46:J46" si="3">F44</f>
        <v>0</v>
      </c>
      <c r="G46" s="259">
        <f t="shared" si="3"/>
        <v>0</v>
      </c>
      <c r="H46" s="259">
        <f t="shared" si="3"/>
        <v>0</v>
      </c>
      <c r="I46" s="259">
        <f t="shared" si="3"/>
        <v>0</v>
      </c>
      <c r="J46" s="259">
        <f t="shared" si="3"/>
        <v>0</v>
      </c>
      <c r="K46" s="260">
        <f>K44+K45</f>
        <v>1380000</v>
      </c>
      <c r="L46" s="260">
        <f t="shared" ref="L46:M46" si="4">L44+L45</f>
        <v>1380000</v>
      </c>
      <c r="M46" s="260">
        <f t="shared" si="4"/>
        <v>0</v>
      </c>
      <c r="N46" s="260">
        <f>SUM(N36:N43)</f>
        <v>0</v>
      </c>
      <c r="O46" s="260">
        <f>SUM(O36:O43)</f>
        <v>0</v>
      </c>
      <c r="P46" s="260">
        <f>SUM(P36:P43)</f>
        <v>0</v>
      </c>
      <c r="Q46" s="263">
        <f>K46+N46</f>
        <v>1380000</v>
      </c>
      <c r="R46" s="263">
        <f>L46+O46</f>
        <v>1380000</v>
      </c>
      <c r="S46" s="263">
        <f>M46+P46</f>
        <v>0</v>
      </c>
    </row>
  </sheetData>
  <mergeCells count="13">
    <mergeCell ref="Q34:S34"/>
    <mergeCell ref="B30:E30"/>
    <mergeCell ref="B34:B35"/>
    <mergeCell ref="E34:G34"/>
    <mergeCell ref="H34:J34"/>
    <mergeCell ref="K34:M34"/>
    <mergeCell ref="N34:P34"/>
    <mergeCell ref="K17:K18"/>
    <mergeCell ref="B17:B18"/>
    <mergeCell ref="C17:C18"/>
    <mergeCell ref="D17:D18"/>
    <mergeCell ref="E17:E18"/>
    <mergeCell ref="F17:J17"/>
  </mergeCells>
  <dataValidations count="4">
    <dataValidation type="custom" allowBlank="1" showInputMessage="1" showErrorMessage="1" sqref="N36:P43" xr:uid="{6BC4F720-5F5A-447D-96C3-30B00CA0FEB1}">
      <formula1>"-"</formula1>
    </dataValidation>
    <dataValidation type="list" allowBlank="1" showInputMessage="1" showErrorMessage="1" sqref="D19" xr:uid="{464EF53B-B37B-4BFC-8403-D4E7AD092A8F}">
      <formula1>$V$2:$V$3</formula1>
    </dataValidation>
    <dataValidation showInputMessage="1" showErrorMessage="1" sqref="E19" xr:uid="{42409B25-6D68-45EA-9B09-87222112ADD7}"/>
    <dataValidation type="list" allowBlank="1" showInputMessage="1" showErrorMessage="1" sqref="B13" xr:uid="{070BFB01-B5FB-4ABE-BCB8-F2170D34304E}">
      <formula1>$U$2:$U$4</formula1>
    </dataValidation>
  </dataValidations>
  <hyperlinks>
    <hyperlink ref="C12" location="_ftn1" display="_ftn1" xr:uid="{FCF97D68-78BC-4E72-91E5-A4288B87CAC8}"/>
    <hyperlink ref="D12" location="_ftn2" display="_ftn2" xr:uid="{EAB384D6-128E-4A42-9AF1-75DD316B6889}"/>
    <hyperlink ref="E12" location="_ftn3" display="_ftn3" xr:uid="{C7DEA30E-918A-4147-BD6F-0C43CE65FF06}"/>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38913" r:id="rId3" name="Check Box 1">
              <controlPr defaultSize="0" autoFill="0" autoLine="0" autoPict="0">
                <anchor moveWithCells="1">
                  <from>
                    <xdr:col>1</xdr:col>
                    <xdr:colOff>85725</xdr:colOff>
                    <xdr:row>26</xdr:row>
                    <xdr:rowOff>0</xdr:rowOff>
                  </from>
                  <to>
                    <xdr:col>2</xdr:col>
                    <xdr:colOff>1171575</xdr:colOff>
                    <xdr:row>27</xdr:row>
                    <xdr:rowOff>38100</xdr:rowOff>
                  </to>
                </anchor>
              </controlPr>
            </control>
          </mc:Choice>
        </mc:AlternateContent>
        <mc:AlternateContent xmlns:mc="http://schemas.openxmlformats.org/markup-compatibility/2006">
          <mc:Choice Requires="x14">
            <control shapeId="38914" r:id="rId4" name="Check Box 2">
              <controlPr defaultSize="0" autoFill="0" autoLine="0" autoPict="0">
                <anchor moveWithCells="1">
                  <from>
                    <xdr:col>1</xdr:col>
                    <xdr:colOff>85725</xdr:colOff>
                    <xdr:row>23</xdr:row>
                    <xdr:rowOff>171450</xdr:rowOff>
                  </from>
                  <to>
                    <xdr:col>3</xdr:col>
                    <xdr:colOff>266700</xdr:colOff>
                    <xdr:row>25</xdr:row>
                    <xdr:rowOff>47625</xdr:rowOff>
                  </to>
                </anchor>
              </controlPr>
            </control>
          </mc:Choice>
        </mc:AlternateContent>
        <mc:AlternateContent xmlns:mc="http://schemas.openxmlformats.org/markup-compatibility/2006">
          <mc:Choice Requires="x14">
            <control shapeId="38915" r:id="rId5" name="Check Box 3">
              <controlPr defaultSize="0" autoFill="0" autoLine="0" autoPict="0">
                <anchor moveWithCells="1">
                  <from>
                    <xdr:col>1</xdr:col>
                    <xdr:colOff>85725</xdr:colOff>
                    <xdr:row>25</xdr:row>
                    <xdr:rowOff>28575</xdr:rowOff>
                  </from>
                  <to>
                    <xdr:col>3</xdr:col>
                    <xdr:colOff>266700</xdr:colOff>
                    <xdr:row>26</xdr:row>
                    <xdr:rowOff>9525</xdr:rowOff>
                  </to>
                </anchor>
              </controlPr>
            </control>
          </mc:Choice>
        </mc:AlternateContent>
        <mc:AlternateContent xmlns:mc="http://schemas.openxmlformats.org/markup-compatibility/2006">
          <mc:Choice Requires="x14">
            <control shapeId="38916" r:id="rId6" name="Check Box 4">
              <controlPr defaultSize="0" autoFill="0" autoLine="0" autoPict="0">
                <anchor moveWithCells="1">
                  <from>
                    <xdr:col>1</xdr:col>
                    <xdr:colOff>95250</xdr:colOff>
                    <xdr:row>27</xdr:row>
                    <xdr:rowOff>9525</xdr:rowOff>
                  </from>
                  <to>
                    <xdr:col>2</xdr:col>
                    <xdr:colOff>571500</xdr:colOff>
                    <xdr:row>28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52</vt:i4>
      </vt:variant>
      <vt:variant>
        <vt:lpstr>Named Ranges</vt:lpstr>
      </vt:variant>
      <vt:variant>
        <vt:i4>2</vt:i4>
      </vt:variant>
    </vt:vector>
  </HeadingPairs>
  <TitlesOfParts>
    <vt:vector size="54" baseType="lpstr">
      <vt:lpstr>Հ1 Ձև1 </vt:lpstr>
      <vt:lpstr>1022-11001 խաղող </vt:lpstr>
      <vt:lpstr>1022-11002 ԳԾԿ Մելանի</vt:lpstr>
      <vt:lpstr>1022-11004 հող բարեփոխ</vt:lpstr>
      <vt:lpstr>1022-12005</vt:lpstr>
      <vt:lpstr>1022-12001</vt:lpstr>
      <vt:lpstr>1022-12004</vt:lpstr>
      <vt:lpstr>1022-12010</vt:lpstr>
      <vt:lpstr>1022-12011 հող կոնսոլ</vt:lpstr>
      <vt:lpstr>1022-12012</vt:lpstr>
      <vt:lpstr>1022-32001հող բարեփո</vt:lpstr>
      <vt:lpstr>1058-11001</vt:lpstr>
      <vt:lpstr>1058-11002</vt:lpstr>
      <vt:lpstr>1058-11003</vt:lpstr>
      <vt:lpstr>1058-11007</vt:lpstr>
      <vt:lpstr>1058-31001</vt:lpstr>
      <vt:lpstr>1058-31002</vt:lpstr>
      <vt:lpstr>1059-11001</vt:lpstr>
      <vt:lpstr>1059-11002</vt:lpstr>
      <vt:lpstr>1059-11003</vt:lpstr>
      <vt:lpstr>1067-11001</vt:lpstr>
      <vt:lpstr>1067-11002</vt:lpstr>
      <vt:lpstr>1086-11004</vt:lpstr>
      <vt:lpstr>1086-12003</vt:lpstr>
      <vt:lpstr>1086-31001</vt:lpstr>
      <vt:lpstr>1104-11001</vt:lpstr>
      <vt:lpstr>1104-11002</vt:lpstr>
      <vt:lpstr>1104-12001</vt:lpstr>
      <vt:lpstr>1116-11001</vt:lpstr>
      <vt:lpstr>1165-11002</vt:lpstr>
      <vt:lpstr>1165-11004 ՆԱԿ</vt:lpstr>
      <vt:lpstr>1116-11005</vt:lpstr>
      <vt:lpstr>1165-11007</vt:lpstr>
      <vt:lpstr>1165-31003</vt:lpstr>
      <vt:lpstr>1187-12002</vt:lpstr>
      <vt:lpstr>1187-12003</vt:lpstr>
      <vt:lpstr>1187-12004</vt:lpstr>
      <vt:lpstr>1187-12005</vt:lpstr>
      <vt:lpstr>1187-12006</vt:lpstr>
      <vt:lpstr>1187-12007</vt:lpstr>
      <vt:lpstr>1187-12008</vt:lpstr>
      <vt:lpstr>1187-12009</vt:lpstr>
      <vt:lpstr>1187-12011</vt:lpstr>
      <vt:lpstr>1187-12012</vt:lpstr>
      <vt:lpstr>1187-12013</vt:lpstr>
      <vt:lpstr>1187-12014</vt:lpstr>
      <vt:lpstr>1187-12015</vt:lpstr>
      <vt:lpstr>1190-11001</vt:lpstr>
      <vt:lpstr>1190-11002</vt:lpstr>
      <vt:lpstr>1190-11004 LED</vt:lpstr>
      <vt:lpstr>1190-12001LED</vt:lpstr>
      <vt:lpstr>Լրացման պահանջներ</vt:lpstr>
      <vt:lpstr>'Հ1 Ձև1 '!_ftnref1</vt:lpstr>
      <vt:lpstr>'Հ1 Ձև1 '!_ftnref2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2023-05-26T09:47:19Z</dcterms:modified>
  <cp:keywords>https://mul2-mineconomy.gov.am/tasks/497266/oneclick/havelvac-1-FUL.xlsx?token=f495d47e9aad97d9c5b5def45c58b5b7</cp:keywords>
</cp:coreProperties>
</file>